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drawings/drawing11.xml" ContentType="application/vnd.openxmlformats-officedocument.drawing+xml"/>
  <Override PartName="/xl/comments7.xml" ContentType="application/vnd.openxmlformats-officedocument.spreadsheetml.comments+xml"/>
  <Override PartName="/xl/drawings/drawing12.xml" ContentType="application/vnd.openxmlformats-officedocument.drawing+xml"/>
  <Override PartName="/xl/comments8.xml" ContentType="application/vnd.openxmlformats-officedocument.spreadsheetml.comments+xml"/>
  <Override PartName="/xl/drawings/drawing13.xml" ContentType="application/vnd.openxmlformats-officedocument.drawing+xml"/>
  <Override PartName="/xl/comments9.xml" ContentType="application/vnd.openxmlformats-officedocument.spreadsheetml.comments+xml"/>
  <Override PartName="/xl/drawings/drawing14.xml" ContentType="application/vnd.openxmlformats-officedocument.drawing+xml"/>
  <Override PartName="/xl/comments10.xml" ContentType="application/vnd.openxmlformats-officedocument.spreadsheetml.comments+xml"/>
  <Override PartName="/xl/drawings/drawing15.xml" ContentType="application/vnd.openxmlformats-officedocument.drawing+xml"/>
  <Override PartName="/xl/comments11.xml" ContentType="application/vnd.openxmlformats-officedocument.spreadsheetml.comments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giorg\Desktop\ISU and other - May, 2020\ვაჰ ჰორნი, ვაჰოვიჩი - ამოხსნილი ამოცანები\"/>
    </mc:Choice>
  </mc:AlternateContent>
  <xr:revisionPtr revIDLastSave="0" documentId="13_ncr:1_{8F2CD19D-62E2-4D49-AC8F-5F59F292B4AB}" xr6:coauthVersionLast="45" xr6:coauthVersionMax="45" xr10:uidLastSave="{00000000-0000-0000-0000-000000000000}"/>
  <bookViews>
    <workbookView xWindow="40" yWindow="60" windowWidth="19160" windowHeight="10140" firstSheet="10" activeTab="14" xr2:uid="{00000000-000D-0000-FFFF-FFFF00000000}"/>
  </bookViews>
  <sheets>
    <sheet name="PV" sheetId="1" state="hidden" r:id="rId1"/>
    <sheet name="ამოცანა 4.1" sheetId="3" r:id="rId2"/>
    <sheet name="ამოცანა 4.2" sheetId="26" r:id="rId3"/>
    <sheet name="ამოცანა 4.3" sheetId="6" r:id="rId4"/>
    <sheet name="ამოცანა 4.4" sheetId="7" r:id="rId5"/>
    <sheet name="ამოცანა 4.5" sheetId="8" r:id="rId6"/>
    <sheet name="ამოცანა 4.6" sheetId="9" r:id="rId7"/>
    <sheet name="ამოცანა 4.7" sheetId="10" r:id="rId8"/>
    <sheet name="ამოცანა 4.8" sheetId="11" r:id="rId9"/>
    <sheet name="ამოცანა 4.9" sheetId="13" r:id="rId10"/>
    <sheet name="ამოცანა 4.10" sheetId="12" r:id="rId11"/>
    <sheet name="ამოცანა 4.11" sheetId="14" r:id="rId12"/>
    <sheet name="ამოცანა 4.12" sheetId="15" r:id="rId13"/>
    <sheet name="ამოცანა 4.13" sheetId="16" r:id="rId14"/>
    <sheet name="ამოცანა 4.14" sheetId="17" r:id="rId15"/>
    <sheet name="FV" sheetId="2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8" i="17" l="1"/>
  <c r="E39" i="17"/>
  <c r="E37" i="17"/>
  <c r="C38" i="17"/>
  <c r="C39" i="17"/>
  <c r="C37" i="17"/>
  <c r="K40" i="16"/>
  <c r="I42" i="16"/>
  <c r="I41" i="16"/>
  <c r="G40" i="16"/>
  <c r="E42" i="16"/>
  <c r="E41" i="16"/>
  <c r="I40" i="16"/>
  <c r="E40" i="16"/>
  <c r="D40" i="15"/>
  <c r="D44" i="15"/>
  <c r="D46" i="15" s="1"/>
  <c r="C45" i="15"/>
  <c r="C46" i="15"/>
  <c r="C44" i="15"/>
  <c r="X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E40" i="15"/>
  <c r="D37" i="14"/>
  <c r="D39" i="14" s="1"/>
  <c r="C38" i="14"/>
  <c r="C39" i="14"/>
  <c r="C37" i="14"/>
  <c r="L17" i="14"/>
  <c r="M17" i="14" s="1"/>
  <c r="D36" i="12"/>
  <c r="D38" i="12" s="1"/>
  <c r="F40" i="13"/>
  <c r="F38" i="13"/>
  <c r="H38" i="13" s="1"/>
  <c r="D37" i="12" l="1"/>
  <c r="D38" i="14"/>
  <c r="M18" i="14"/>
  <c r="I43" i="16"/>
  <c r="I46" i="16" s="1"/>
  <c r="E43" i="16"/>
  <c r="E46" i="16" s="1"/>
  <c r="D45" i="15"/>
  <c r="F39" i="13"/>
  <c r="F41" i="13" s="1"/>
  <c r="D29" i="11"/>
  <c r="C43" i="10"/>
  <c r="C42" i="10"/>
  <c r="D42" i="10"/>
  <c r="G38" i="10"/>
  <c r="H38" i="10"/>
  <c r="I38" i="10"/>
  <c r="J38" i="10"/>
  <c r="D43" i="10" s="1"/>
  <c r="F38" i="10"/>
  <c r="D36" i="9"/>
  <c r="D37" i="9"/>
  <c r="D35" i="9"/>
  <c r="N26" i="9"/>
  <c r="N25" i="9"/>
  <c r="N24" i="9"/>
  <c r="C31" i="8" l="1"/>
  <c r="D31" i="8" s="1"/>
  <c r="F33" i="6"/>
  <c r="F35" i="6" s="1"/>
  <c r="D33" i="6"/>
  <c r="D35" i="6" s="1"/>
  <c r="F48" i="26"/>
  <c r="E42" i="26"/>
  <c r="F40" i="26"/>
  <c r="H40" i="26" s="1"/>
  <c r="H42" i="26" s="1"/>
  <c r="F45" i="3"/>
  <c r="E39" i="3"/>
  <c r="F37" i="3"/>
  <c r="H37" i="3" s="1"/>
  <c r="H39" i="3" s="1"/>
  <c r="D34" i="6" l="1"/>
  <c r="D36" i="6" s="1"/>
  <c r="F34" i="6"/>
  <c r="F36" i="6" s="1"/>
  <c r="H47" i="26"/>
  <c r="F47" i="26"/>
  <c r="F49" i="26" s="1"/>
  <c r="D34" i="8"/>
  <c r="E31" i="8"/>
  <c r="F42" i="26"/>
  <c r="G40" i="26"/>
  <c r="G42" i="26" s="1"/>
  <c r="F44" i="3"/>
  <c r="F46" i="3" s="1"/>
  <c r="H44" i="3"/>
  <c r="G37" i="3"/>
  <c r="G39" i="3" s="1"/>
  <c r="F39" i="3"/>
  <c r="D38" i="8" l="1"/>
  <c r="F31" i="8"/>
  <c r="E34" i="8"/>
  <c r="E38" i="8" s="1"/>
  <c r="F34" i="8" l="1"/>
  <c r="G32" i="8"/>
  <c r="F38" i="8" l="1"/>
  <c r="G34" i="8"/>
  <c r="G38" i="8" s="1"/>
  <c r="H32" i="8"/>
  <c r="H34" i="8" l="1"/>
  <c r="I32" i="8"/>
  <c r="J33" i="8" l="1"/>
  <c r="I33" i="8" s="1"/>
  <c r="I34" i="8" s="1"/>
  <c r="I38" i="8" s="1"/>
  <c r="H38" i="8"/>
  <c r="B41" i="8" l="1"/>
  <c r="B3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Zviad</author>
  </authors>
  <commentList>
    <comment ref="D3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1-ლი ფორმულით</t>
        </r>
      </text>
    </comment>
    <comment ref="D4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მე-3 ფორმულით</t>
        </r>
      </text>
    </comment>
    <comment ref="D4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მე-2 ფორმულით</t>
        </r>
      </text>
    </comment>
    <comment ref="D46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PVA+PV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Zviad</author>
  </authors>
  <commentList>
    <comment ref="C40" authorId="0" shapeId="0" xr:uid="{00000000-0006-0000-0D00-000001000000}">
      <text>
        <r>
          <rPr>
            <b/>
            <sz val="9"/>
            <color indexed="81"/>
            <rFont val="Tahoma"/>
            <charset val="1"/>
          </rPr>
          <t>Zviad:</t>
        </r>
        <r>
          <rPr>
            <sz val="9"/>
            <color indexed="81"/>
            <rFont val="Tahoma"/>
            <charset val="1"/>
          </rPr>
          <t xml:space="preserve">
1-ლი ფორმულის მიხედვით</t>
        </r>
      </text>
    </comment>
    <comment ref="C41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მე-3 ფორმულით</t>
        </r>
      </text>
    </comment>
    <comment ref="C42" authorId="0" shapeId="0" xr:uid="{00000000-0006-0000-0D00-000003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მე-2 ფორმულით</t>
        </r>
      </text>
    </comment>
    <comment ref="C43" authorId="0" shapeId="0" xr:uid="{00000000-0006-0000-0D00-000004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PVA+PV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Zviad</author>
  </authors>
  <commentList>
    <comment ref="C37" authorId="0" shapeId="0" xr:uid="{00000000-0006-0000-0E00-000001000000}">
      <text>
        <r>
          <rPr>
            <b/>
            <sz val="9"/>
            <color indexed="81"/>
            <rFont val="Tahoma"/>
            <charset val="1"/>
          </rPr>
          <t>Zviad:</t>
        </r>
        <r>
          <rPr>
            <sz val="9"/>
            <color indexed="81"/>
            <rFont val="Tahoma"/>
            <charset val="1"/>
          </rPr>
          <t xml:space="preserve">
1-ლი ფორმულის მიხედვით</t>
        </r>
      </text>
    </comment>
    <comment ref="C38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მე-3 ფორმულით</t>
        </r>
      </text>
    </comment>
    <comment ref="C39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მე-2 ფორმულით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Zviad</author>
  </authors>
  <commentList>
    <comment ref="D4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1-ლი ფორმულით</t>
        </r>
      </text>
    </comment>
    <comment ref="D4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მე-3 ფორმულით</t>
        </r>
      </text>
    </comment>
    <comment ref="D48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მე-2 ფორმულით</t>
        </r>
      </text>
    </comment>
    <comment ref="D49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PVA+PV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Zviad</author>
  </authors>
  <commentList>
    <comment ref="D3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1-ლი ფორმულით</t>
        </r>
      </text>
    </comment>
    <comment ref="D3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მე-2 ფორმულით</t>
        </r>
      </text>
    </comment>
    <comment ref="D3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მე-2 ფორმულით</t>
        </r>
      </text>
    </comment>
    <comment ref="D3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ფასი შემცირდა 13.33 დოლარით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Zviad</author>
    <author>Zviad Berekashvili</author>
  </authors>
  <commentList>
    <comment ref="B3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შემდეგი წლის დივიდენდი მიიღება წინა დივიდენდის გამრავლებით (1+15%)-ზე</t>
        </r>
      </text>
    </comment>
    <comment ref="B3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შემდეგი წლის დივიდენდი მიიღება წინა დივიდენდის გამრავლებით (1+10%)-ზე</t>
        </r>
      </text>
    </comment>
    <comment ref="B33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შემდეგი წლის დივიდენდი მიიღება წინა დივიდენდის გამრავლებით (1+5%)-ზე</t>
        </r>
      </text>
    </comment>
    <comment ref="I33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მესამე ფაზის უსასრულო დივიდენდების ღირებულება გამოთვლილ იქნა 1-ლი ფორმულით: V3=D3(1)/(k(e)-g3)</t>
        </r>
      </text>
    </comment>
    <comment ref="J33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მე-3 ფაზის პირველი წლის დივიდენდი D3(1)</t>
        </r>
      </text>
    </comment>
    <comment ref="C38" authorId="1" shapeId="0" xr:uid="{00000000-0006-0000-0500-000006000000}">
      <text>
        <r>
          <rPr>
            <b/>
            <sz val="9"/>
            <color indexed="81"/>
            <rFont val="Tahoma"/>
            <family val="2"/>
          </rPr>
          <t>Zviad Berekashvili:</t>
        </r>
        <r>
          <rPr>
            <sz val="9"/>
            <color indexed="81"/>
            <rFont val="Tahoma"/>
            <family val="2"/>
          </rPr>
          <t xml:space="preserve">
მე-2 ფორმულის მიხედვით გამოთვლილია დღევანდელი ღირებულებები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Zviad</author>
  </authors>
  <commentList>
    <comment ref="D3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შემდეგი წლის დივიდენდი მიიღება წინა დივიდენდის გამრავლებით (1+15%)-ზე</t>
        </r>
      </text>
    </comment>
    <comment ref="D42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1-ლი ფორმულით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Zviad</author>
  </authors>
  <commentList>
    <comment ref="D38" authorId="0" shapeId="0" xr:uid="{00000000-0006-0000-0900-000001000000}">
      <text>
        <r>
          <rPr>
            <b/>
            <sz val="9"/>
            <color indexed="81"/>
            <rFont val="Tahoma"/>
            <charset val="1"/>
          </rPr>
          <t>Zviad:</t>
        </r>
        <r>
          <rPr>
            <sz val="9"/>
            <color indexed="81"/>
            <rFont val="Tahoma"/>
            <charset val="1"/>
          </rPr>
          <t xml:space="preserve">
1-ლი ფორმულის მიხედვით</t>
        </r>
      </text>
    </comment>
    <comment ref="D3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მე-3 ფორმულით</t>
        </r>
      </text>
    </comment>
    <comment ref="D4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მე-2 ფორმულით</t>
        </r>
      </text>
    </comment>
    <comment ref="D41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PVA+PV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Zviad</author>
  </authors>
  <commentList>
    <comment ref="B36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1-ლი ფორმულით</t>
        </r>
      </text>
    </comment>
    <comment ref="B37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მე-2 ფორმულის მიხედვით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Zviad</author>
  </authors>
  <commentList>
    <comment ref="D37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1-ლი ფორმულით</t>
        </r>
      </text>
    </comment>
    <comment ref="D38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i</t>
        </r>
        <r>
          <rPr>
            <sz val="9"/>
            <color indexed="81"/>
            <rFont val="Tahoma"/>
            <family val="2"/>
          </rPr>
          <t xml:space="preserve"> * 2</t>
        </r>
      </text>
    </comment>
    <comment ref="D39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მე-2 ფორმულით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Zviad</author>
  </authors>
  <commentList>
    <comment ref="D44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ექსელის IRR ფორმულით</t>
        </r>
      </text>
    </comment>
    <comment ref="D45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i</t>
        </r>
        <r>
          <rPr>
            <sz val="9"/>
            <color indexed="81"/>
            <rFont val="Tahoma"/>
            <family val="2"/>
          </rPr>
          <t xml:space="preserve"> * 2</t>
        </r>
      </text>
    </comment>
    <comment ref="D46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Zviad:</t>
        </r>
        <r>
          <rPr>
            <sz val="9"/>
            <color indexed="81"/>
            <rFont val="Tahoma"/>
            <family val="2"/>
          </rPr>
          <t xml:space="preserve">
1-ლი ფორმულით</t>
        </r>
      </text>
    </comment>
  </commentList>
</comments>
</file>

<file path=xl/sharedStrings.xml><?xml version="1.0" encoding="utf-8"?>
<sst xmlns="http://schemas.openxmlformats.org/spreadsheetml/2006/main" count="262" uniqueCount="89">
  <si>
    <t>ა)</t>
  </si>
  <si>
    <t>PV=</t>
  </si>
  <si>
    <t>n=</t>
  </si>
  <si>
    <t>i=</t>
  </si>
  <si>
    <t>?</t>
  </si>
  <si>
    <t>პირობა:</t>
  </si>
  <si>
    <t>ფორმულა:</t>
  </si>
  <si>
    <t>ამოხსნა:</t>
  </si>
  <si>
    <t>ფორმულით</t>
  </si>
  <si>
    <t>ექსელით</t>
  </si>
  <si>
    <t>FV</t>
  </si>
  <si>
    <t>i</t>
  </si>
  <si>
    <t>ბ)</t>
  </si>
  <si>
    <t>PMT=</t>
  </si>
  <si>
    <t>Timeline</t>
  </si>
  <si>
    <t>გ)</t>
  </si>
  <si>
    <t>m=</t>
  </si>
  <si>
    <t>∞</t>
  </si>
  <si>
    <t>→</t>
  </si>
  <si>
    <t>n1=</t>
  </si>
  <si>
    <t>n2=</t>
  </si>
  <si>
    <t>(face value)</t>
  </si>
  <si>
    <t>ნომინალი=</t>
  </si>
  <si>
    <t>კუპონური ობლიგაცია (ბონდი)</t>
  </si>
  <si>
    <t>კუპონის განაკვეთი=</t>
  </si>
  <si>
    <t>(coupon rate)</t>
  </si>
  <si>
    <t>PMT (კუპონი)</t>
  </si>
  <si>
    <t>ნომინალი</t>
  </si>
  <si>
    <t>ჯამი</t>
  </si>
  <si>
    <t>PVA (PMT)</t>
  </si>
  <si>
    <t>PV (Face value)</t>
  </si>
  <si>
    <t>პასუხი</t>
  </si>
  <si>
    <t>სარგებელი=</t>
  </si>
  <si>
    <t>P(0)=</t>
  </si>
  <si>
    <t>PMT</t>
  </si>
  <si>
    <t>ცვლილებამდე</t>
  </si>
  <si>
    <t>შემდეგ</t>
  </si>
  <si>
    <t>P(0) ცვლილებამდე</t>
  </si>
  <si>
    <t>P(0) შემდგომ</t>
  </si>
  <si>
    <t>სხვაობა</t>
  </si>
  <si>
    <t>ობლიგაციის ფასი</t>
  </si>
  <si>
    <t>პრივილეგირებული აქციის ფასი</t>
  </si>
  <si>
    <t>პირობაში შეცდომაა. სარგებლის საბაზრო განაკვეთი 10%-ის ნაცვლად წერია 100$</t>
  </si>
  <si>
    <t>n3=</t>
  </si>
  <si>
    <t>D(0)=</t>
  </si>
  <si>
    <t>g1=</t>
  </si>
  <si>
    <t>g2=</t>
  </si>
  <si>
    <t>g3=</t>
  </si>
  <si>
    <t>k(e)=</t>
  </si>
  <si>
    <t>k(e) იგივეა რაც i</t>
  </si>
  <si>
    <t>V=</t>
  </si>
  <si>
    <t>V ანუ, დღევანდელი ღირებულება</t>
  </si>
  <si>
    <t>...</t>
  </si>
  <si>
    <t>15%-იანი ზრდა</t>
  </si>
  <si>
    <t>10%-იანი ზრდა</t>
  </si>
  <si>
    <t>5%-იანი ზრდა</t>
  </si>
  <si>
    <t>ფორმულით:</t>
  </si>
  <si>
    <t>აქციის ღირებულება</t>
  </si>
  <si>
    <t>1-ლი ფაზა</t>
  </si>
  <si>
    <t>მე-2 ფაზა</t>
  </si>
  <si>
    <t>მე-3 ფაზა</t>
  </si>
  <si>
    <t>PVs</t>
  </si>
  <si>
    <t>i1=</t>
  </si>
  <si>
    <t>D(1)=</t>
  </si>
  <si>
    <t>i2=</t>
  </si>
  <si>
    <t>i3=</t>
  </si>
  <si>
    <t>V1</t>
  </si>
  <si>
    <t>V2</t>
  </si>
  <si>
    <t>V3=</t>
  </si>
  <si>
    <t>V2=</t>
  </si>
  <si>
    <t>V1=</t>
  </si>
  <si>
    <t>V3</t>
  </si>
  <si>
    <t>პირველი და მესამე სტრატეგიის შემთხვევაში მიიღება აქციის უფრო მაღალი ღირებულება 37.5$</t>
  </si>
  <si>
    <t>აქციის ფასი</t>
  </si>
  <si>
    <t>V(5)=</t>
  </si>
  <si>
    <t>P=</t>
  </si>
  <si>
    <t>g=</t>
  </si>
  <si>
    <t>k(d)=</t>
  </si>
  <si>
    <t>k(კაპიტალური მოგება)=</t>
  </si>
  <si>
    <t>k(კაპიტალური მოგება)=g=</t>
  </si>
  <si>
    <t>D=</t>
  </si>
  <si>
    <t xml:space="preserve"> წლიური i=</t>
  </si>
  <si>
    <t xml:space="preserve"> ეფექტური i=</t>
  </si>
  <si>
    <t>Coupon rate=</t>
  </si>
  <si>
    <t>რადგან ამ ორ ობლიგაციას ყველა პარამეტრი აქვს ერთნაირი, გარდა ვადისა, შეგვიძლია დავასკვნათ, რომ უფრო დიდი ვადის მქონე ობლიგაციის ფასი უფრო დიდ ცვლილებას განიცდის</t>
  </si>
  <si>
    <t>5 წლიანის ფასის ცვლილება</t>
  </si>
  <si>
    <t>15 წლიანის ფასის ცვლილება</t>
  </si>
  <si>
    <t>g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</si>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</sst>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15">
    <xf numFmtId="0" fontId="0" fillId="0" borderId="0" xfId="0"/>
    <xf numFmtId="9" fontId="0" fillId="0" borderId="0" xfId="0" applyNumberFormat="1"/>
    <xf numFmtId="167" fontId="0" fillId="0" borderId="0" xfId="1" applyFont="1" applyAlignment="1">
      <alignment horizontal="right"/>
    </xf>
    <xf numFmtId="165" fontId="0" fillId="0" borderId="0" xfId="0" applyNumberFormat="1"/>
    <xf numFmtId="167" fontId="0" fillId="0" borderId="0" xfId="1" applyFont="1"/>
    <xf numFmtId="167" fontId="0" fillId="0" borderId="0" xfId="0" applyNumberFormat="1"/>
    <xf numFmtId="165" fontId="0" fillId="0" borderId="0" xfId="1" applyNumberFormat="1" applyFont="1"/>
    <xf numFmtId="168" fontId="0" fillId="0" borderId="0" xfId="2" applyNumberFormat="1" applyFont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5" xfId="0" applyFont="1" applyBorder="1" applyAlignment="1">
      <alignment horizontal="right" vertical="center"/>
    </xf>
    <xf numFmtId="166" fontId="0" fillId="0" borderId="0" xfId="3" applyFont="1" applyBorder="1" applyAlignment="1">
      <alignment horizontal="left" vertical="center"/>
    </xf>
    <xf numFmtId="1" fontId="0" fillId="0" borderId="0" xfId="3" applyNumberFormat="1" applyFont="1" applyBorder="1" applyAlignment="1">
      <alignment horizontal="left" vertical="center"/>
    </xf>
    <xf numFmtId="9" fontId="0" fillId="0" borderId="0" xfId="2" applyFont="1" applyBorder="1" applyAlignment="1">
      <alignment horizontal="left" vertical="center"/>
    </xf>
    <xf numFmtId="9" fontId="0" fillId="0" borderId="6" xfId="2" applyFont="1" applyBorder="1" applyAlignment="1">
      <alignment horizontal="left" vertical="center"/>
    </xf>
    <xf numFmtId="0" fontId="3" fillId="0" borderId="7" xfId="0" applyFont="1" applyBorder="1" applyAlignment="1">
      <alignment horizontal="right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7" xfId="0" applyFont="1" applyBorder="1" applyAlignment="1">
      <alignment horizontal="right" vertical="center" wrapText="1"/>
    </xf>
    <xf numFmtId="165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 wrapText="1"/>
    </xf>
    <xf numFmtId="1" fontId="6" fillId="0" borderId="0" xfId="3" applyNumberFormat="1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7" fontId="0" fillId="0" borderId="1" xfId="1" applyFont="1" applyBorder="1" applyAlignment="1">
      <alignment vertical="center"/>
    </xf>
    <xf numFmtId="0" fontId="0" fillId="4" borderId="1" xfId="0" applyFill="1" applyBorder="1" applyAlignment="1">
      <alignment vertical="center"/>
    </xf>
    <xf numFmtId="167" fontId="2" fillId="4" borderId="1" xfId="0" applyNumberFormat="1" applyFont="1" applyFill="1" applyBorder="1" applyAlignment="1">
      <alignment vertical="center"/>
    </xf>
    <xf numFmtId="166" fontId="0" fillId="0" borderId="0" xfId="3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9" fontId="0" fillId="0" borderId="0" xfId="2" applyFont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2" fontId="0" fillId="0" borderId="0" xfId="1" applyNumberFormat="1" applyFont="1" applyBorder="1" applyAlignment="1">
      <alignment horizontal="left" vertical="center"/>
    </xf>
    <xf numFmtId="9" fontId="0" fillId="0" borderId="0" xfId="0" applyNumberFormat="1" applyBorder="1" applyAlignment="1">
      <alignment horizontal="left" vertical="center"/>
    </xf>
    <xf numFmtId="9" fontId="0" fillId="0" borderId="0" xfId="2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2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2" fillId="0" borderId="1" xfId="3" applyNumberFormat="1" applyFont="1" applyBorder="1" applyAlignment="1">
      <alignment horizontal="center" vertical="center"/>
    </xf>
    <xf numFmtId="166" fontId="0" fillId="0" borderId="5" xfId="3" applyFont="1" applyBorder="1" applyAlignment="1">
      <alignment horizontal="right" vertical="center"/>
    </xf>
    <xf numFmtId="166" fontId="0" fillId="0" borderId="0" xfId="3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0" xfId="3" applyNumberFormat="1" applyFont="1" applyBorder="1" applyAlignment="1">
      <alignment horizontal="left"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9" fontId="0" fillId="0" borderId="0" xfId="3" applyNumberFormat="1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2" fontId="0" fillId="0" borderId="0" xfId="0" applyNumberFormat="1" applyAlignment="1">
      <alignment horizontal="left"/>
    </xf>
    <xf numFmtId="0" fontId="0" fillId="0" borderId="5" xfId="0" applyBorder="1" applyAlignment="1">
      <alignment horizontal="right" vertical="center"/>
    </xf>
    <xf numFmtId="10" fontId="0" fillId="0" borderId="0" xfId="2" applyNumberFormat="1" applyFont="1" applyAlignment="1">
      <alignment vertical="center"/>
    </xf>
    <xf numFmtId="9" fontId="0" fillId="0" borderId="0" xfId="0" applyNumberFormat="1" applyBorder="1" applyAlignment="1">
      <alignment vertical="center"/>
    </xf>
    <xf numFmtId="9" fontId="0" fillId="0" borderId="6" xfId="0" applyNumberFormat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3" fillId="0" borderId="8" xfId="0" applyFont="1" applyBorder="1" applyAlignment="1">
      <alignment horizontal="right" vertical="center"/>
    </xf>
    <xf numFmtId="9" fontId="0" fillId="0" borderId="8" xfId="2" applyFont="1" applyBorder="1" applyAlignment="1">
      <alignment horizontal="left" vertical="center"/>
    </xf>
    <xf numFmtId="1" fontId="5" fillId="0" borderId="0" xfId="3" applyNumberFormat="1" applyFont="1" applyBorder="1" applyAlignment="1">
      <alignment horizontal="left" vertical="center"/>
    </xf>
    <xf numFmtId="0" fontId="3" fillId="0" borderId="0" xfId="0" applyFont="1" applyAlignment="1">
      <alignment horizontal="right"/>
    </xf>
    <xf numFmtId="1" fontId="0" fillId="0" borderId="0" xfId="2" applyNumberFormat="1" applyFont="1" applyBorder="1" applyAlignment="1">
      <alignment horizontal="left" vertical="center"/>
    </xf>
    <xf numFmtId="0" fontId="3" fillId="8" borderId="5" xfId="0" applyFont="1" applyFill="1" applyBorder="1" applyAlignment="1">
      <alignment horizontal="right" vertical="center"/>
    </xf>
    <xf numFmtId="166" fontId="0" fillId="8" borderId="0" xfId="3" applyFont="1" applyFill="1" applyBorder="1" applyAlignment="1">
      <alignment vertical="center"/>
    </xf>
    <xf numFmtId="1" fontId="5" fillId="8" borderId="0" xfId="3" applyNumberFormat="1" applyFont="1" applyFill="1" applyBorder="1" applyAlignment="1">
      <alignment horizontal="left" vertical="center"/>
    </xf>
    <xf numFmtId="166" fontId="0" fillId="0" borderId="1" xfId="0" applyNumberFormat="1" applyBorder="1"/>
    <xf numFmtId="0" fontId="2" fillId="5" borderId="1" xfId="0" applyFont="1" applyFill="1" applyBorder="1" applyAlignment="1">
      <alignment horizontal="center"/>
    </xf>
    <xf numFmtId="0" fontId="0" fillId="0" borderId="6" xfId="0" applyBorder="1" applyAlignment="1">
      <alignment horizontal="left" vertical="center"/>
    </xf>
    <xf numFmtId="9" fontId="3" fillId="0" borderId="0" xfId="2" applyFont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66" fontId="0" fillId="0" borderId="0" xfId="3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66" fontId="0" fillId="0" borderId="0" xfId="3" applyFont="1" applyFill="1" applyBorder="1" applyAlignment="1">
      <alignment horizontal="left" vertical="center"/>
    </xf>
    <xf numFmtId="1" fontId="5" fillId="0" borderId="0" xfId="3" applyNumberFormat="1" applyFont="1" applyFill="1" applyBorder="1" applyAlignment="1">
      <alignment horizontal="left" vertical="center"/>
    </xf>
    <xf numFmtId="0" fontId="0" fillId="0" borderId="0" xfId="0" applyAlignment="1">
      <alignment vertical="top"/>
    </xf>
    <xf numFmtId="9" fontId="0" fillId="0" borderId="0" xfId="0" applyNumberFormat="1" applyAlignment="1">
      <alignment horizontal="left" vertical="center"/>
    </xf>
    <xf numFmtId="9" fontId="3" fillId="0" borderId="8" xfId="2" applyFont="1" applyBorder="1" applyAlignment="1">
      <alignment horizontal="right" vertical="center"/>
    </xf>
    <xf numFmtId="166" fontId="0" fillId="0" borderId="13" xfId="0" applyNumberForma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166" fontId="0" fillId="0" borderId="1" xfId="3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9" fontId="10" fillId="0" borderId="1" xfId="2" applyFont="1" applyBorder="1" applyAlignment="1">
      <alignment horizontal="center" vertical="center"/>
    </xf>
    <xf numFmtId="166" fontId="10" fillId="0" borderId="1" xfId="3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9" fontId="0" fillId="0" borderId="11" xfId="2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2" fillId="2" borderId="11" xfId="0" applyFont="1" applyFill="1" applyBorder="1" applyAlignment="1">
      <alignment horizontal="center" vertical="center"/>
    </xf>
    <xf numFmtId="10" fontId="0" fillId="0" borderId="11" xfId="2" applyNumberFormat="1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4">
    <cellStyle name="Komma" xfId="1" builtinId="3"/>
    <cellStyle name="Prozent" xfId="2" builtinId="5"/>
    <cellStyle name="Standard" xfId="0" builtinId="0"/>
    <cellStyle name="Währung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307943</xdr:colOff>
      <xdr:row>0</xdr:row>
      <xdr:rowOff>104775</xdr:rowOff>
    </xdr:from>
    <xdr:ext cx="2635282" cy="553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575143" y="10477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𝑃𝑉𝐴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𝑃𝑀𝑇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(1+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575143" y="10477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𝑃𝑉𝐴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𝑃𝑀𝑇((1−〖(1+𝑖)〗^(−𝑛))/𝑖)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307943</xdr:colOff>
      <xdr:row>4</xdr:row>
      <xdr:rowOff>104775</xdr:rowOff>
    </xdr:from>
    <xdr:ext cx="2635282" cy="553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575143" y="86677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𝑃𝑀𝑇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𝑃𝑉𝐴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num>
                          <m:den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575143" y="86677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𝑃𝑀𝑇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𝑃𝑉𝐴(𝑖/(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1−〖(1+𝑖)〗^(−𝑛)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7</xdr:col>
      <xdr:colOff>298417</xdr:colOff>
      <xdr:row>9</xdr:row>
      <xdr:rowOff>9526</xdr:rowOff>
    </xdr:from>
    <xdr:ext cx="5045107" cy="1162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565617" y="1724026"/>
              <a:ext cx="5045107" cy="1162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600" b="0" i="1">
                      <a:latin typeface="Cambria Math" panose="02040503050406030204" pitchFamily="18" charset="0"/>
                    </a:rPr>
                    <m:t>𝑃𝑀𝑇</m:t>
                  </m:r>
                </m:oMath>
              </a14:m>
              <a:r>
                <a:rPr lang="en-US" sz="1600"/>
                <a:t>- </a:t>
              </a:r>
              <a:r>
                <a:rPr lang="ka-GE" sz="1600"/>
                <a:t>თანაბარი</a:t>
              </a:r>
              <a:r>
                <a:rPr lang="ka-GE" sz="1600" baseline="0"/>
                <a:t> პერიოდული შენატანები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𝑃𝑉𝐴</m:t>
                  </m:r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ka-GE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ანუიტეტის</a:t>
              </a:r>
              <a:r>
                <a:rPr lang="ka-GE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დღევანდელი ღირებულება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</m:t>
                  </m:r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ka-GE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ნომინალური საპროცენტო განაკვეთი</a:t>
              </a:r>
              <a:endParaRPr lang="en-US" sz="16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ka-GE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პერიოდების</a:t>
              </a:r>
              <a:r>
                <a:rPr lang="ka-GE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რაოდენობა</a:t>
              </a:r>
              <a:endParaRPr lang="en-US" sz="16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600">
                <a:effectLst/>
              </a:endParaRPr>
            </a:p>
            <a:p>
              <a:endParaRPr lang="en-US" sz="16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565617" y="1724026"/>
              <a:ext cx="5045107" cy="1162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𝑃𝑀𝑇</a:t>
              </a:r>
              <a:r>
                <a:rPr lang="en-US" sz="1600"/>
                <a:t>- </a:t>
              </a:r>
              <a:r>
                <a:rPr lang="ka-GE" sz="1600"/>
                <a:t>თანაბარი</a:t>
              </a:r>
              <a:r>
                <a:rPr lang="ka-GE" sz="1600" baseline="0"/>
                <a:t> პერიოდული შენატანები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𝑃𝑉𝐴 </a:t>
              </a:r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ka-GE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ანუიტეტის</a:t>
              </a:r>
              <a:r>
                <a:rPr lang="ka-GE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დღევანდელი ღირებულება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ka-GE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ნომინალური საპროცენტო განაკვეთი</a:t>
              </a:r>
              <a:endParaRPr lang="en-US" sz="16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ka-GE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პერიოდების</a:t>
              </a:r>
              <a:r>
                <a:rPr lang="ka-GE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რაოდენობა</a:t>
              </a:r>
              <a:endParaRPr lang="en-US" sz="16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600">
                <a:effectLst/>
              </a:endParaRPr>
            </a:p>
            <a:p>
              <a:endParaRPr lang="en-US" sz="16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</xdr:row>
      <xdr:rowOff>95250</xdr:rowOff>
    </xdr:from>
    <xdr:to>
      <xdr:col>9</xdr:col>
      <xdr:colOff>465964</xdr:colOff>
      <xdr:row>8</xdr:row>
      <xdr:rowOff>104632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pSpPr/>
      </xdr:nvGrpSpPr>
      <xdr:grpSpPr>
        <a:xfrm>
          <a:off x="504825" y="279400"/>
          <a:ext cx="7339839" cy="1298432"/>
          <a:chOff x="638175" y="209550"/>
          <a:chExt cx="6247639" cy="1342882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38175" y="209550"/>
            <a:ext cx="6247619" cy="228571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00100" y="409575"/>
            <a:ext cx="6085714" cy="1142857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</xdr:grpSp>
    <xdr:clientData/>
  </xdr:twoCellAnchor>
  <xdr:oneCellAnchor>
    <xdr:from>
      <xdr:col>3</xdr:col>
      <xdr:colOff>133350</xdr:colOff>
      <xdr:row>26</xdr:row>
      <xdr:rowOff>161925</xdr:rowOff>
    </xdr:from>
    <xdr:ext cx="3305175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SpPr txBox="1"/>
          </xdr:nvSpPr>
          <xdr:spPr>
            <a:xfrm>
              <a:off x="1962150" y="5305425"/>
              <a:ext cx="33051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𝑃𝑀𝑇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𝑓𝑎𝑐𝑒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𝑣𝑎𝑙𝑢𝑒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𝑐𝑜𝑢𝑝𝑜𝑛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𝑟𝑎𝑡𝑒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962150" y="5305425"/>
              <a:ext cx="33051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𝑃𝑀𝑇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𝑓𝑎𝑐𝑒 𝑣𝑎𝑙𝑢𝑒∗𝑐𝑜𝑢𝑝𝑜𝑛 𝑟𝑎𝑡𝑒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142876</xdr:colOff>
      <xdr:row>28</xdr:row>
      <xdr:rowOff>85725</xdr:rowOff>
    </xdr:from>
    <xdr:ext cx="2438400" cy="2870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900-000008000000}"/>
                </a:ext>
              </a:extLst>
            </xdr:cNvPr>
            <xdr:cNvSpPr txBox="1"/>
          </xdr:nvSpPr>
          <xdr:spPr>
            <a:xfrm>
              <a:off x="1971676" y="5610225"/>
              <a:ext cx="2438400" cy="2870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𝐹𝑉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f>
                          <m:fPr>
                            <m:type m:val="skw"/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num>
                          <m:den>
                            <m:r>
                              <a:rPr lang="en-US" sz="16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𝑚</m:t>
                            </m:r>
                          </m:den>
                        </m:f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971676" y="5610225"/>
              <a:ext cx="2438400" cy="2870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〖𝑃𝑉〗_0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𝐹𝑉〗_𝑛/</a:t>
              </a:r>
              <a:r>
                <a:rPr lang="en-US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(1+𝑖⁄</a:t>
              </a:r>
              <a:r>
                <a:rPr lang="en-US" sz="16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𝑚</a:t>
              </a:r>
              <a:r>
                <a:rPr lang="en-US" sz="1600" b="0" i="0">
                  <a:latin typeface="Cambria Math" panose="02040503050406030204" pitchFamily="18" charset="0"/>
                </a:rPr>
                <a:t>)〗^</a:t>
              </a:r>
              <a:r>
                <a:rPr lang="en-US" sz="16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𝑚</a:t>
              </a:r>
              <a:r>
                <a:rPr lang="en-US" sz="1600" b="0" i="0">
                  <a:latin typeface="Cambria Math" panose="02040503050406030204" pitchFamily="18" charset="0"/>
                </a:rPr>
                <a:t>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133351</xdr:colOff>
      <xdr:row>30</xdr:row>
      <xdr:rowOff>9525</xdr:rowOff>
    </xdr:from>
    <xdr:ext cx="3543300" cy="6363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900-000009000000}"/>
                </a:ext>
              </a:extLst>
            </xdr:cNvPr>
            <xdr:cNvSpPr txBox="1"/>
          </xdr:nvSpPr>
          <xdr:spPr>
            <a:xfrm>
              <a:off x="1962151" y="5915025"/>
              <a:ext cx="3543300" cy="636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𝑃𝑉𝐴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type m:val="skw"/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𝑃𝑀𝑇</m:t>
                        </m:r>
                      </m:num>
                      <m:den>
                        <m:r>
                          <a:rPr lang="en-US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den>
                    </m:f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(1+</m:t>
                                </m:r>
                                <m:f>
                                  <m:fPr>
                                    <m:type m:val="skw"/>
                                    <m:ctrlP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num>
                                  <m:den>
                                    <m:r>
                                      <a:rPr lang="en-US" sz="16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𝑚</m:t>
                                    </m:r>
                                  </m:den>
                                </m:f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6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</m:num>
                          <m:den>
                            <m:f>
                              <m:fPr>
                                <m:type m:val="skw"/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num>
                              <m:den>
                                <m:r>
                                  <a:rPr lang="en-US" sz="16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den>
                            </m:f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962151" y="5915025"/>
              <a:ext cx="3543300" cy="636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𝑃𝑉𝐴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𝑃𝑀𝑇⁄</a:t>
              </a:r>
              <a:r>
                <a:rPr lang="en-US" sz="16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𝑚 </a:t>
              </a:r>
              <a:r>
                <a:rPr lang="en-US" sz="1600" b="0" i="0">
                  <a:latin typeface="Cambria Math" panose="02040503050406030204" pitchFamily="18" charset="0"/>
                </a:rPr>
                <a:t>((1−〖(1+𝑖⁄</a:t>
              </a:r>
              <a:r>
                <a:rPr lang="en-US" sz="16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𝑚</a:t>
              </a:r>
              <a:r>
                <a:rPr lang="en-US" sz="1600" b="0" i="0">
                  <a:latin typeface="Cambria Math" panose="02040503050406030204" pitchFamily="18" charset="0"/>
                </a:rPr>
                <a:t>)〗^(−</a:t>
              </a:r>
              <a:r>
                <a:rPr lang="en-US" sz="16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𝑚</a:t>
              </a:r>
              <a:r>
                <a:rPr lang="en-US" sz="1600" b="0" i="0">
                  <a:latin typeface="Cambria Math" panose="02040503050406030204" pitchFamily="18" charset="0"/>
                </a:rPr>
                <a:t>𝑛))/(𝑖⁄</a:t>
              </a:r>
              <a:r>
                <a:rPr lang="en-US" sz="16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𝑚))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314325</xdr:colOff>
      <xdr:row>25</xdr:row>
      <xdr:rowOff>0</xdr:rowOff>
    </xdr:from>
    <xdr:ext cx="2438400" cy="5256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A00-000008000000}"/>
                </a:ext>
              </a:extLst>
            </xdr:cNvPr>
            <xdr:cNvSpPr txBox="1"/>
          </xdr:nvSpPr>
          <xdr:spPr>
            <a:xfrm>
              <a:off x="4705350" y="4838700"/>
              <a:ext cx="2438400" cy="525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𝑉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𝑉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705350" y="4838700"/>
              <a:ext cx="2438400" cy="525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𝑔</a:t>
              </a:r>
              <a:r>
                <a:rPr lang="en-US" sz="1600" i="0">
                  <a:latin typeface="Cambria Math" panose="02040503050406030204" pitchFamily="18" charset="0"/>
                </a:rPr>
                <a:t>=(</a:t>
              </a:r>
              <a:r>
                <a:rPr lang="en-US" sz="1600" b="0" i="0">
                  <a:latin typeface="Cambria Math" panose="02040503050406030204" pitchFamily="18" charset="0"/>
                </a:rPr>
                <a:t>𝑉𝑘_𝑒−𝐷_0)/(𝑉+𝐷_0 )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0</xdr:col>
      <xdr:colOff>381000</xdr:colOff>
      <xdr:row>0</xdr:row>
      <xdr:rowOff>85725</xdr:rowOff>
    </xdr:from>
    <xdr:to>
      <xdr:col>8</xdr:col>
      <xdr:colOff>675480</xdr:colOff>
      <xdr:row>7</xdr:row>
      <xdr:rowOff>85558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85725"/>
          <a:ext cx="6361905" cy="133333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2</xdr:col>
      <xdr:colOff>57149</xdr:colOff>
      <xdr:row>25</xdr:row>
      <xdr:rowOff>47625</xdr:rowOff>
    </xdr:from>
    <xdr:ext cx="2857501" cy="5127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SpPr txBox="1"/>
          </xdr:nvSpPr>
          <xdr:spPr>
            <a:xfrm>
              <a:off x="1276349" y="4886325"/>
              <a:ext cx="2857501" cy="5127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ka-GE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ka-GE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ka-GE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276349" y="4886325"/>
              <a:ext cx="2857501" cy="5127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𝑉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𝐷_1/((𝑖−𝑔))</a:t>
              </a:r>
              <a:r>
                <a:rPr lang="ka-GE" sz="1600" b="0" i="0">
                  <a:latin typeface="Cambria Math" panose="02040503050406030204" pitchFamily="18" charset="0"/>
                </a:rPr>
                <a:t>=</a:t>
              </a:r>
              <a:r>
                <a:rPr lang="ka-GE" sz="1600" b="0" i="0"/>
                <a:t>(</a:t>
              </a:r>
              <a:r>
                <a:rPr lang="en-US" sz="1600" b="0" i="0">
                  <a:latin typeface="Cambria Math" panose="02040503050406030204" pitchFamily="18" charset="0"/>
                </a:rPr>
                <a:t>𝐷</a:t>
              </a:r>
              <a:r>
                <a:rPr lang="ka-GE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0 (1+𝑔)</a:t>
              </a:r>
              <a:r>
                <a:rPr lang="ka-GE" sz="1600" b="0" i="0">
                  <a:latin typeface="Cambria Math" panose="02040503050406030204" pitchFamily="18" charset="0"/>
                </a:rPr>
                <a:t>)/(</a:t>
              </a:r>
              <a:r>
                <a:rPr lang="en-US" sz="1600" b="0" i="0">
                  <a:latin typeface="Cambria Math" panose="02040503050406030204" pitchFamily="18" charset="0"/>
                </a:rPr>
                <a:t>(𝑘_𝑒−𝑔)</a:t>
              </a:r>
              <a:r>
                <a:rPr lang="ka-GE" sz="16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38100</xdr:colOff>
      <xdr:row>28</xdr:row>
      <xdr:rowOff>38100</xdr:rowOff>
    </xdr:from>
    <xdr:ext cx="2857501" cy="5224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A00-00000C000000}"/>
                </a:ext>
              </a:extLst>
            </xdr:cNvPr>
            <xdr:cNvSpPr txBox="1"/>
          </xdr:nvSpPr>
          <xdr:spPr>
            <a:xfrm>
              <a:off x="1257300" y="5448300"/>
              <a:ext cx="2857501" cy="522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den>
                    </m:f>
                    <m:r>
                      <a:rPr lang="ka-GE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ka-GE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ka-GE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257300" y="5448300"/>
              <a:ext cx="2857501" cy="522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𝑉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𝐷_1/𝑘_𝑑 </a:t>
              </a:r>
              <a:r>
                <a:rPr lang="ka-GE" sz="1600" b="0" i="0">
                  <a:latin typeface="Cambria Math" panose="02040503050406030204" pitchFamily="18" charset="0"/>
                </a:rPr>
                <a:t>=</a:t>
              </a:r>
              <a:r>
                <a:rPr lang="ka-GE" sz="1600" b="0" i="0"/>
                <a:t>(</a:t>
              </a:r>
              <a:r>
                <a:rPr lang="en-US" sz="1600" b="0" i="0">
                  <a:latin typeface="Cambria Math" panose="02040503050406030204" pitchFamily="18" charset="0"/>
                </a:rPr>
                <a:t>𝐷</a:t>
              </a:r>
              <a:r>
                <a:rPr lang="ka-GE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0 (1+𝑔)</a:t>
              </a:r>
              <a:r>
                <a:rPr lang="ka-GE" sz="1600" b="0" i="0">
                  <a:latin typeface="Cambria Math" panose="02040503050406030204" pitchFamily="18" charset="0"/>
                </a:rPr>
                <a:t>)/</a:t>
              </a:r>
              <a:r>
                <a:rPr lang="en-US" sz="1600" b="0" i="0">
                  <a:latin typeface="Cambria Math" panose="02040503050406030204" pitchFamily="18" charset="0"/>
                </a:rPr>
                <a:t>𝑘_𝑑</a:t>
              </a:r>
              <a:r>
                <a:rPr lang="ka-GE" sz="1600" b="0" i="0">
                  <a:latin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342900</xdr:colOff>
      <xdr:row>28</xdr:row>
      <xdr:rowOff>38100</xdr:rowOff>
    </xdr:from>
    <xdr:ext cx="2438400" cy="4731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A00-00000D000000}"/>
                </a:ext>
              </a:extLst>
            </xdr:cNvPr>
            <xdr:cNvSpPr txBox="1"/>
          </xdr:nvSpPr>
          <xdr:spPr>
            <a:xfrm>
              <a:off x="4733925" y="5448300"/>
              <a:ext cx="2438400" cy="4731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𝑉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4733925" y="5448300"/>
              <a:ext cx="2438400" cy="4731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𝑘_𝑑</a:t>
              </a:r>
              <a:r>
                <a:rPr lang="en-US" sz="1600" i="0">
                  <a:latin typeface="Cambria Math" panose="02040503050406030204" pitchFamily="18" charset="0"/>
                </a:rPr>
                <a:t>=(</a:t>
              </a:r>
              <a:r>
                <a:rPr lang="en-US" sz="1600" b="0" i="0">
                  <a:latin typeface="Cambria Math" panose="02040503050406030204" pitchFamily="18" charset="0"/>
                </a:rPr>
                <a:t>𝐷_0 (1+𝑔))/𝑉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0</xdr:row>
      <xdr:rowOff>114300</xdr:rowOff>
    </xdr:from>
    <xdr:to>
      <xdr:col>8</xdr:col>
      <xdr:colOff>599279</xdr:colOff>
      <xdr:row>9</xdr:row>
      <xdr:rowOff>85514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14300"/>
          <a:ext cx="6371429" cy="168571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3</xdr:col>
      <xdr:colOff>885825</xdr:colOff>
      <xdr:row>27</xdr:row>
      <xdr:rowOff>28575</xdr:rowOff>
    </xdr:from>
    <xdr:to>
      <xdr:col>4</xdr:col>
      <xdr:colOff>866775</xdr:colOff>
      <xdr:row>29</xdr:row>
      <xdr:rowOff>133350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3">
              <a:extLst>
                <a:ext uri="{FF2B5EF4-FFF2-40B4-BE49-F238E27FC236}">
                  <a16:creationId xmlns:a16="http://schemas.microsoft.com/office/drawing/2014/main" id="{00000000-0008-0000-0B00-000006000000}"/>
                </a:ext>
              </a:extLst>
            </xdr:cNvPr>
            <xdr:cNvSpPr txBox="1"/>
          </xdr:nvSpPr>
          <xdr:spPr>
            <a:xfrm>
              <a:off x="2876550" y="4791075"/>
              <a:ext cx="942975" cy="4857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𝑉</m:t>
                    </m:r>
                    <m:r>
                      <a:rPr lang="en-US" sz="16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f>
                      <m:fPr>
                        <m:ctrlP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𝐷</m:t>
                        </m:r>
                      </m:num>
                      <m:den>
                        <m: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𝑖</m:t>
                        </m:r>
                      </m:den>
                    </m:f>
                  </m:oMath>
                </m:oMathPara>
              </a14:m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6" name="TextBox 3"/>
            <xdr:cNvSpPr txBox="1"/>
          </xdr:nvSpPr>
          <xdr:spPr>
            <a:xfrm>
              <a:off x="2876550" y="4791075"/>
              <a:ext cx="942975" cy="4857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6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𝑉=𝐷/𝑖</a:t>
              </a:r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6</xdr:col>
      <xdr:colOff>638175</xdr:colOff>
      <xdr:row>27</xdr:row>
      <xdr:rowOff>28575</xdr:rowOff>
    </xdr:from>
    <xdr:to>
      <xdr:col>8</xdr:col>
      <xdr:colOff>95250</xdr:colOff>
      <xdr:row>29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3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SpPr txBox="1"/>
          </xdr:nvSpPr>
          <xdr:spPr>
            <a:xfrm>
              <a:off x="5286375" y="4791075"/>
              <a:ext cx="942975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𝑖</m:t>
                    </m:r>
                    <m:r>
                      <a:rPr lang="en-US" sz="16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f>
                      <m:fPr>
                        <m:ctrlP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𝐷</m:t>
                        </m:r>
                      </m:num>
                      <m:den>
                        <m:r>
                          <a:rPr lang="en-US" sz="1600" b="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𝑉</m:t>
                        </m:r>
                      </m:den>
                    </m:f>
                  </m:oMath>
                </m:oMathPara>
              </a14:m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7" name="TextBox 3"/>
            <xdr:cNvSpPr txBox="1"/>
          </xdr:nvSpPr>
          <xdr:spPr>
            <a:xfrm>
              <a:off x="5286375" y="4791075"/>
              <a:ext cx="942975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600" b="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𝑖</a:t>
              </a:r>
              <a:r>
                <a:rPr lang="en-US" sz="16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=𝐷/</a:t>
              </a:r>
              <a:r>
                <a:rPr lang="en-US" sz="1600" b="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𝑉</a:t>
              </a:r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3</xdr:col>
      <xdr:colOff>752475</xdr:colOff>
      <xdr:row>30</xdr:row>
      <xdr:rowOff>0</xdr:rowOff>
    </xdr:from>
    <xdr:to>
      <xdr:col>6</xdr:col>
      <xdr:colOff>485775</xdr:colOff>
      <xdr:row>31</xdr:row>
      <xdr:rowOff>66675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00000000-0008-0000-0B00-00000A000000}"/>
                </a:ext>
              </a:extLst>
            </xdr:cNvPr>
            <xdr:cNvSpPr txBox="1"/>
          </xdr:nvSpPr>
          <xdr:spPr>
            <a:xfrm>
              <a:off x="2743200" y="5715000"/>
              <a:ext cx="2390775" cy="257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a-GE" sz="1600" b="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ეფექტური </m:t>
                    </m:r>
                    <m:r>
                      <a:rPr lang="en-US" sz="1600" b="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𝑖</m:t>
                    </m:r>
                    <m:r>
                      <a:rPr lang="en-US" sz="16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sSup>
                      <m:sSupPr>
                        <m:ctrlP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ka-GE" sz="1600" b="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(1+</m:t>
                        </m:r>
                        <m:r>
                          <a:rPr lang="en-US" sz="1600" b="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𝑖</m:t>
                        </m:r>
                        <m:r>
                          <a:rPr lang="en-US" sz="1600" b="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𝑚</m:t>
                        </m:r>
                      </m:sup>
                    </m:sSup>
                    <m:r>
                      <a:rPr lang="en-US" sz="1600" b="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−1</m:t>
                    </m:r>
                  </m:oMath>
                </m:oMathPara>
              </a14:m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TextBox 3"/>
            <xdr:cNvSpPr txBox="1"/>
          </xdr:nvSpPr>
          <xdr:spPr>
            <a:xfrm>
              <a:off x="2743200" y="5715000"/>
              <a:ext cx="2390775" cy="257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ka-GE" sz="1600" b="0" i="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ეფექტური </a:t>
              </a:r>
              <a:r>
                <a:rPr lang="en-US" sz="1600" b="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𝑖</a:t>
              </a:r>
              <a:r>
                <a:rPr lang="en-US" sz="16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=</a:t>
              </a:r>
              <a:r>
                <a:rPr lang="en-US" sz="16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〖</a:t>
              </a:r>
              <a:r>
                <a:rPr lang="ka-GE" sz="1600" b="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(1+</a:t>
              </a:r>
              <a:r>
                <a:rPr lang="en-US" sz="1600" b="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𝑖)〗^𝑚−1</a:t>
              </a:r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9526</xdr:rowOff>
    </xdr:from>
    <xdr:to>
      <xdr:col>9</xdr:col>
      <xdr:colOff>103983</xdr:colOff>
      <xdr:row>10</xdr:row>
      <xdr:rowOff>161926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00026"/>
          <a:ext cx="6333333" cy="18669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3</xdr:col>
      <xdr:colOff>228600</xdr:colOff>
      <xdr:row>32</xdr:row>
      <xdr:rowOff>142875</xdr:rowOff>
    </xdr:from>
    <xdr:to>
      <xdr:col>6</xdr:col>
      <xdr:colOff>180975</xdr:colOff>
      <xdr:row>34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3">
              <a:extLst>
                <a:ext uri="{FF2B5EF4-FFF2-40B4-BE49-F238E27FC236}">
                  <a16:creationId xmlns:a16="http://schemas.microsoft.com/office/drawing/2014/main" id="{00000000-0008-0000-0C00-000005000000}"/>
                </a:ext>
              </a:extLst>
            </xdr:cNvPr>
            <xdr:cNvSpPr txBox="1"/>
          </xdr:nvSpPr>
          <xdr:spPr>
            <a:xfrm>
              <a:off x="2438400" y="6238875"/>
              <a:ext cx="2390775" cy="257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a-GE" sz="1600" b="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ეფექტური </m:t>
                    </m:r>
                    <m:r>
                      <a:rPr lang="en-US" sz="1600" b="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𝑖</m:t>
                    </m:r>
                    <m:r>
                      <a:rPr lang="en-US" sz="16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sSup>
                      <m:sSupPr>
                        <m:ctrlP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ka-GE" sz="1600" b="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(1+</m:t>
                        </m:r>
                        <m:r>
                          <a:rPr lang="en-US" sz="1600" b="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𝑖</m:t>
                        </m:r>
                        <m:r>
                          <a:rPr lang="en-US" sz="1600" b="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𝑚</m:t>
                        </m:r>
                      </m:sup>
                    </m:sSup>
                    <m:r>
                      <a:rPr lang="en-US" sz="1600" b="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−1</m:t>
                    </m:r>
                  </m:oMath>
                </m:oMathPara>
              </a14:m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5" name="TextBox 3"/>
            <xdr:cNvSpPr txBox="1"/>
          </xdr:nvSpPr>
          <xdr:spPr>
            <a:xfrm>
              <a:off x="2438400" y="6238875"/>
              <a:ext cx="2390775" cy="257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ka-GE" sz="1600" b="0" i="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ეფექტური </a:t>
              </a:r>
              <a:r>
                <a:rPr lang="en-US" sz="1600" b="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𝑖</a:t>
              </a:r>
              <a:r>
                <a:rPr lang="en-US" sz="16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=</a:t>
              </a:r>
              <a:r>
                <a:rPr lang="en-US" sz="16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〖</a:t>
              </a:r>
              <a:r>
                <a:rPr lang="ka-GE" sz="1600" b="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(1+</a:t>
              </a:r>
              <a:r>
                <a:rPr lang="en-US" sz="1600" b="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𝑖)〗^𝑚−1</a:t>
              </a:r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133351</xdr:rowOff>
    </xdr:from>
    <xdr:to>
      <xdr:col>8</xdr:col>
      <xdr:colOff>475451</xdr:colOff>
      <xdr:row>9</xdr:row>
      <xdr:rowOff>133351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133351"/>
          <a:ext cx="6390476" cy="17145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8</xdr:col>
      <xdr:colOff>276225</xdr:colOff>
      <xdr:row>30</xdr:row>
      <xdr:rowOff>133350</xdr:rowOff>
    </xdr:from>
    <xdr:to>
      <xdr:col>11</xdr:col>
      <xdr:colOff>323850</xdr:colOff>
      <xdr:row>32</xdr:row>
      <xdr:rowOff>28575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SpPr txBox="1"/>
          </xdr:nvSpPr>
          <xdr:spPr>
            <a:xfrm>
              <a:off x="6629400" y="6038850"/>
              <a:ext cx="2438400" cy="276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  <m:r>
                      <a:rPr lang="en-US" sz="16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𝐹𝑉</m:t>
                        </m:r>
                      </m:e>
                      <m:sub>
                        <m: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𝑛</m:t>
                        </m:r>
                      </m:sub>
                    </m:sSub>
                    <m:r>
                      <a:rPr lang="en-US" sz="16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/</m:t>
                    </m:r>
                    <m:sSup>
                      <m:sSupPr>
                        <m:ctrlP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(1+</m:t>
                        </m:r>
                        <m:f>
                          <m:fPr>
                            <m:type m:val="skw"/>
                            <m:ctrlPr>
                              <a:rPr lang="en-US" sz="16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en-US" sz="16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𝑖</m:t>
                            </m:r>
                          </m:num>
                          <m:den>
                            <m:r>
                              <a:rPr lang="en-US" sz="160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𝑚</m:t>
                            </m:r>
                          </m:den>
                        </m:f>
                        <m: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𝑚</m:t>
                        </m:r>
                        <m: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629400" y="6038850"/>
              <a:ext cx="2438400" cy="276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en-US" sz="16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〖</a:t>
              </a:r>
              <a:r>
                <a:rPr lang="en-US" sz="16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𝑃𝑉〗_0=</a:t>
              </a:r>
              <a:r>
                <a:rPr lang="en-US" sz="16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〖</a:t>
              </a:r>
              <a:r>
                <a:rPr lang="en-US" sz="16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𝐹𝑉〗_𝑛/</a:t>
              </a:r>
              <a:r>
                <a:rPr lang="en-US" sz="16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〖</a:t>
              </a:r>
              <a:r>
                <a:rPr lang="en-US" sz="16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(1+𝑖⁄</a:t>
              </a:r>
              <a:r>
                <a:rPr lang="en-US" sz="160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</a:t>
              </a:r>
              <a:r>
                <a:rPr lang="en-US" sz="16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)〗^</a:t>
              </a:r>
              <a:r>
                <a:rPr lang="en-US" sz="160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</a:t>
              </a:r>
              <a:r>
                <a:rPr lang="en-US" sz="16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𝑛</a:t>
              </a:r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381000</xdr:colOff>
      <xdr:row>29</xdr:row>
      <xdr:rowOff>149860</xdr:rowOff>
    </xdr:from>
    <xdr:to>
      <xdr:col>6</xdr:col>
      <xdr:colOff>714375</xdr:colOff>
      <xdr:row>32</xdr:row>
      <xdr:rowOff>182880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4">
              <a:extLst>
                <a:ext uri="{FF2B5EF4-FFF2-40B4-BE49-F238E27FC236}">
                  <a16:creationId xmlns:a16="http://schemas.microsoft.com/office/drawing/2014/main" id="{00000000-0008-0000-0D00-000006000000}"/>
                </a:ext>
              </a:extLst>
            </xdr:cNvPr>
            <xdr:cNvSpPr txBox="1"/>
          </xdr:nvSpPr>
          <xdr:spPr>
            <a:xfrm>
              <a:off x="1600200" y="4340860"/>
              <a:ext cx="3543300" cy="6045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𝑃𝑉𝐴</m:t>
                    </m:r>
                    <m:r>
                      <a:rPr lang="en-US" sz="16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f>
                      <m:fPr>
                        <m:type m:val="skw"/>
                        <m:ctrlP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𝑃𝑀𝑇</m:t>
                        </m:r>
                      </m:num>
                      <m:den>
                        <m:r>
                          <a:rPr lang="en-US" sz="160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𝑚</m:t>
                        </m:r>
                      </m:den>
                    </m:f>
                    <m:d>
                      <m:dPr>
                        <m:ctrlP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en-US" sz="16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16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6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(1+</m:t>
                                </m:r>
                                <m:f>
                                  <m:fPr>
                                    <m:type m:val="skw"/>
                                    <m:ctrlPr>
                                      <a:rPr lang="en-US" sz="16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6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𝑖</m:t>
                                    </m:r>
                                  </m:num>
                                  <m:den>
                                    <m:r>
                                      <a:rPr lang="en-US" sz="1600" i="1">
                                        <a:solidFill>
                                          <a:srgbClr val="FF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</m:t>
                                    </m:r>
                                  </m:den>
                                </m:f>
                                <m:r>
                                  <a:rPr lang="en-US" sz="16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6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−</m:t>
                                </m:r>
                                <m:r>
                                  <a:rPr lang="en-US" sz="160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𝑚</m:t>
                                </m:r>
                                <m:r>
                                  <a:rPr lang="en-US" sz="16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𝑛</m:t>
                                </m:r>
                              </m:sup>
                            </m:sSup>
                          </m:num>
                          <m:den>
                            <m:f>
                              <m:fPr>
                                <m:type m:val="skw"/>
                                <m:ctrlPr>
                                  <a:rPr lang="en-US" sz="16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6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𝑖</m:t>
                                </m:r>
                              </m:num>
                              <m:den>
                                <m:r>
                                  <a:rPr lang="en-US" sz="160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𝑚</m:t>
                                </m:r>
                              </m:den>
                            </m:f>
                          </m:den>
                        </m:f>
                      </m:e>
                    </m:d>
                  </m:oMath>
                </m:oMathPara>
              </a14:m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6" name="TextBox 4"/>
            <xdr:cNvSpPr txBox="1"/>
          </xdr:nvSpPr>
          <xdr:spPr>
            <a:xfrm>
              <a:off x="1600200" y="4340860"/>
              <a:ext cx="3543300" cy="6045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en-US" sz="16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𝑃𝑉𝐴=𝑃𝑀𝑇⁄</a:t>
              </a:r>
              <a:r>
                <a:rPr lang="en-US" sz="160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</a:t>
              </a:r>
              <a:r>
                <a:rPr lang="en-US" sz="16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sz="16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((</a:t>
              </a:r>
              <a:r>
                <a:rPr lang="en-US" sz="16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1−〖(1+𝑖⁄</a:t>
              </a:r>
              <a:r>
                <a:rPr lang="en-US" sz="160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</a:t>
              </a:r>
              <a:r>
                <a:rPr lang="en-US" sz="16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)〗^(−</a:t>
              </a:r>
              <a:r>
                <a:rPr lang="en-US" sz="160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</a:t>
              </a:r>
              <a:r>
                <a:rPr lang="en-US" sz="16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𝑛))/(𝑖⁄</a:t>
              </a:r>
              <a:r>
                <a:rPr lang="en-US" sz="160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</a:t>
              </a:r>
              <a:r>
                <a:rPr lang="en-US" sz="16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r>
                <a:rPr lang="en-US" sz="160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142875</xdr:rowOff>
    </xdr:from>
    <xdr:to>
      <xdr:col>8</xdr:col>
      <xdr:colOff>142075</xdr:colOff>
      <xdr:row>9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142875"/>
          <a:ext cx="6400000" cy="17145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2</xdr:col>
      <xdr:colOff>142875</xdr:colOff>
      <xdr:row>28</xdr:row>
      <xdr:rowOff>133350</xdr:rowOff>
    </xdr:from>
    <xdr:to>
      <xdr:col>5</xdr:col>
      <xdr:colOff>438150</xdr:colOff>
      <xdr:row>31</xdr:row>
      <xdr:rowOff>69850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6">
              <a:extLst>
                <a:ext uri="{FF2B5EF4-FFF2-40B4-BE49-F238E27FC236}">
                  <a16:creationId xmlns:a16="http://schemas.microsoft.com/office/drawing/2014/main" id="{00000000-0008-0000-0E00-000005000000}"/>
                </a:ext>
              </a:extLst>
            </xdr:cNvPr>
            <xdr:cNvSpPr txBox="1"/>
          </xdr:nvSpPr>
          <xdr:spPr>
            <a:xfrm>
              <a:off x="1628775" y="5543550"/>
              <a:ext cx="2857500" cy="508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𝑉</m:t>
                    </m:r>
                    <m:r>
                      <a:rPr lang="en-US" sz="16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f>
                      <m:fPr>
                        <m:ctrlP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6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sz="16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6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6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  <m: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𝑔</m:t>
                        </m:r>
                        <m: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)</m:t>
                        </m:r>
                      </m:den>
                    </m:f>
                    <m:r>
                      <a:rPr lang="ka-GE" sz="16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f>
                      <m:fPr>
                        <m:ctrlP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6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sz="16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6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(1+</m:t>
                        </m:r>
                        <m: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𝑔</m:t>
                        </m:r>
                        <m: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6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sz="16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6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  <m: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𝑔</m:t>
                        </m:r>
                        <m:r>
                          <a:rPr lang="en-US" sz="16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5" name="TextBox 6"/>
            <xdr:cNvSpPr txBox="1"/>
          </xdr:nvSpPr>
          <xdr:spPr>
            <a:xfrm>
              <a:off x="1628775" y="5543550"/>
              <a:ext cx="2857500" cy="508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en-US" sz="16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𝑉=𝐷_1/((</a:t>
              </a:r>
              <a:r>
                <a:rPr lang="en-US" sz="1600" b="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𝑘_𝑒</a:t>
              </a:r>
              <a:r>
                <a:rPr lang="en-US" sz="16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−𝑔))</a:t>
              </a:r>
              <a:r>
                <a:rPr lang="ka-GE" sz="16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=</a:t>
              </a:r>
              <a:r>
                <a:rPr lang="en-US" sz="16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(</a:t>
              </a:r>
              <a:r>
                <a:rPr lang="en-US" sz="16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𝐷_0 (1+𝑔))/((𝑘_𝑒−𝑔))</a:t>
              </a:r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209550</xdr:colOff>
      <xdr:row>1</xdr:row>
      <xdr:rowOff>104775</xdr:rowOff>
    </xdr:from>
    <xdr:ext cx="2635282" cy="553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F00-000003000000}"/>
                </a:ext>
              </a:extLst>
            </xdr:cNvPr>
            <xdr:cNvSpPr txBox="1"/>
          </xdr:nvSpPr>
          <xdr:spPr>
            <a:xfrm>
              <a:off x="3257550" y="29527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𝐹𝑉𝐴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𝑃𝑀𝑇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257550" y="29527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𝐹𝑉𝐴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𝑃𝑀𝑇(((1+𝑖)^𝑛−1)/𝑖)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219075</xdr:colOff>
      <xdr:row>4</xdr:row>
      <xdr:rowOff>161925</xdr:rowOff>
    </xdr:from>
    <xdr:ext cx="2635282" cy="4941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F00-000004000000}"/>
                </a:ext>
              </a:extLst>
            </xdr:cNvPr>
            <xdr:cNvSpPr txBox="1"/>
          </xdr:nvSpPr>
          <xdr:spPr>
            <a:xfrm>
              <a:off x="3267075" y="923925"/>
              <a:ext cx="2635282" cy="4941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𝑃𝑀𝑇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𝐹𝑉𝐴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1+</m:t>
                                    </m:r>
                                    <m:r>
                                      <a:rPr lang="en-US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267075" y="923925"/>
              <a:ext cx="2635282" cy="4941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𝑃𝑀𝑇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𝐹𝑉𝐴(𝑖/(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−1))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5</xdr:col>
      <xdr:colOff>257175</xdr:colOff>
      <xdr:row>8</xdr:row>
      <xdr:rowOff>66675</xdr:rowOff>
    </xdr:from>
    <xdr:ext cx="4654582" cy="1162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F00-000005000000}"/>
                </a:ext>
              </a:extLst>
            </xdr:cNvPr>
            <xdr:cNvSpPr txBox="1"/>
          </xdr:nvSpPr>
          <xdr:spPr>
            <a:xfrm>
              <a:off x="3305175" y="1590675"/>
              <a:ext cx="4654582" cy="1162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600" b="0" i="1">
                      <a:latin typeface="Cambria Math" panose="02040503050406030204" pitchFamily="18" charset="0"/>
                    </a:rPr>
                    <m:t>𝑃𝑀𝑇</m:t>
                  </m:r>
                </m:oMath>
              </a14:m>
              <a:r>
                <a:rPr lang="en-US" sz="1600"/>
                <a:t>- </a:t>
              </a:r>
              <a:r>
                <a:rPr lang="ka-GE" sz="1600"/>
                <a:t>თანაბარი</a:t>
              </a:r>
              <a:r>
                <a:rPr lang="ka-GE" sz="1600" baseline="0"/>
                <a:t> პერიოდული შენატანები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𝑃𝑉𝐴</m:t>
                  </m:r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ka-GE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ანუიტეტის</a:t>
              </a:r>
              <a:r>
                <a:rPr lang="ka-GE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დღევანდელი ღირებულება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</m:t>
                  </m:r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ka-GE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ნომინალური საპროცენტო განაკვეთი</a:t>
              </a:r>
              <a:endParaRPr lang="en-US" sz="16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ka-GE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პერიოდების</a:t>
              </a:r>
              <a:r>
                <a:rPr lang="ka-GE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რაოდენობა</a:t>
              </a:r>
              <a:endParaRPr lang="en-US" sz="16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600">
                <a:effectLst/>
              </a:endParaRPr>
            </a:p>
            <a:p>
              <a:endParaRPr lang="en-US" sz="16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305175" y="1590675"/>
              <a:ext cx="4654582" cy="1162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𝑃𝑀𝑇</a:t>
              </a:r>
              <a:r>
                <a:rPr lang="en-US" sz="1600"/>
                <a:t>- </a:t>
              </a:r>
              <a:r>
                <a:rPr lang="ka-GE" sz="1600"/>
                <a:t>თანაბარი</a:t>
              </a:r>
              <a:r>
                <a:rPr lang="ka-GE" sz="1600" baseline="0"/>
                <a:t> პერიოდული შენატანები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𝑃𝑉𝐴 </a:t>
              </a:r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ka-GE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ანუიტეტის</a:t>
              </a:r>
              <a:r>
                <a:rPr lang="ka-GE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დღევანდელი ღირებულება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ka-GE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ნომინალური საპროცენტო განაკვეთი</a:t>
              </a:r>
              <a:endParaRPr lang="en-US" sz="16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ka-GE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პერიოდების</a:t>
              </a:r>
              <a:r>
                <a:rPr lang="ka-GE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რაოდენობა</a:t>
              </a:r>
              <a:endParaRPr lang="en-US" sz="16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600">
                <a:effectLst/>
              </a:endParaRPr>
            </a:p>
            <a:p>
              <a:endParaRPr lang="en-US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24</xdr:row>
      <xdr:rowOff>180975</xdr:rowOff>
    </xdr:from>
    <xdr:ext cx="373380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1628775" y="5133975"/>
              <a:ext cx="37338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𝑃𝑀𝑇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𝑓𝑎𝑐𝑒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𝑣𝑎𝑙𝑢𝑒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𝑐𝑜𝑢𝑝𝑜𝑛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𝑟𝑎𝑡𝑒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628775" y="5133975"/>
              <a:ext cx="37338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𝑃𝑀𝑇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𝑓𝑎𝑐𝑒 𝑣𝑎𝑙𝑢𝑒∗𝑐𝑜𝑢𝑝𝑜𝑛 𝑟𝑎𝑡𝑒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</xdr:col>
      <xdr:colOff>0</xdr:colOff>
      <xdr:row>1</xdr:row>
      <xdr:rowOff>0</xdr:rowOff>
    </xdr:from>
    <xdr:to>
      <xdr:col>9</xdr:col>
      <xdr:colOff>284970</xdr:colOff>
      <xdr:row>8</xdr:row>
      <xdr:rowOff>9357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238095" cy="134285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2</xdr:col>
      <xdr:colOff>400050</xdr:colOff>
      <xdr:row>26</xdr:row>
      <xdr:rowOff>161925</xdr:rowOff>
    </xdr:from>
    <xdr:ext cx="243840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1619250" y="5495925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𝐹𝑉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619250" y="5495925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〖𝑃𝑉〗_0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𝐹𝑉〗_𝑛/</a:t>
              </a:r>
              <a:r>
                <a:rPr lang="en-US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(1+𝑖)〗^𝑛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95250</xdr:colOff>
      <xdr:row>27</xdr:row>
      <xdr:rowOff>180975</xdr:rowOff>
    </xdr:from>
    <xdr:ext cx="2635282" cy="553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1924050" y="570547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𝑃𝑉𝐴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𝑃𝑀𝑇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(1+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924050" y="5705475"/>
              <a:ext cx="2635282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𝑃𝑉𝐴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𝑃𝑀𝑇((1−〖(1+𝑖)〗^(−𝑛))/𝑖)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95249</xdr:colOff>
      <xdr:row>27</xdr:row>
      <xdr:rowOff>180975</xdr:rowOff>
    </xdr:from>
    <xdr:ext cx="3305175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924049" y="5324475"/>
              <a:ext cx="33051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𝑃𝑀𝑇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𝑓𝑎𝑐𝑒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𝑣𝑎𝑙𝑢𝑒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𝑐𝑜𝑢𝑝𝑜𝑛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𝑟𝑎𝑡𝑒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924049" y="5324475"/>
              <a:ext cx="33051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𝑃𝑀𝑇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𝑓𝑎𝑐𝑒 𝑣𝑎𝑙𝑢𝑒∗𝑐𝑜𝑢𝑝𝑜𝑛 𝑟𝑎𝑡𝑒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</xdr:col>
      <xdr:colOff>0</xdr:colOff>
      <xdr:row>1</xdr:row>
      <xdr:rowOff>0</xdr:rowOff>
    </xdr:from>
    <xdr:to>
      <xdr:col>9</xdr:col>
      <xdr:colOff>284970</xdr:colOff>
      <xdr:row>8</xdr:row>
      <xdr:rowOff>9357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238095" cy="134285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3</xdr:col>
      <xdr:colOff>104775</xdr:colOff>
      <xdr:row>29</xdr:row>
      <xdr:rowOff>104775</xdr:rowOff>
    </xdr:from>
    <xdr:ext cx="2438400" cy="2870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1933575" y="6010275"/>
              <a:ext cx="2438400" cy="2870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𝐹𝑉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f>
                          <m:fPr>
                            <m:type m:val="skw"/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num>
                          <m:den>
                            <m:r>
                              <a:rPr lang="en-US" sz="16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𝑚</m:t>
                            </m:r>
                          </m:den>
                        </m:f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933575" y="6010275"/>
              <a:ext cx="2438400" cy="2870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〖𝑃𝑉〗_0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𝐹𝑉〗_𝑛/</a:t>
              </a:r>
              <a:r>
                <a:rPr lang="en-US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(1+𝑖⁄</a:t>
              </a:r>
              <a:r>
                <a:rPr lang="en-US" sz="16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𝑚</a:t>
              </a:r>
              <a:r>
                <a:rPr lang="en-US" sz="1600" b="0" i="0">
                  <a:latin typeface="Cambria Math" panose="02040503050406030204" pitchFamily="18" charset="0"/>
                </a:rPr>
                <a:t>)〗^</a:t>
              </a:r>
              <a:r>
                <a:rPr lang="en-US" sz="16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𝑚</a:t>
              </a:r>
              <a:r>
                <a:rPr lang="en-US" sz="1600" b="0" i="0">
                  <a:latin typeface="Cambria Math" panose="02040503050406030204" pitchFamily="18" charset="0"/>
                </a:rPr>
                <a:t>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95250</xdr:colOff>
      <xdr:row>31</xdr:row>
      <xdr:rowOff>28575</xdr:rowOff>
    </xdr:from>
    <xdr:ext cx="3543300" cy="6363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924050" y="6315075"/>
              <a:ext cx="3543300" cy="636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𝑃𝑉𝐴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type m:val="skw"/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𝑃𝑀𝑇</m:t>
                        </m:r>
                      </m:num>
                      <m:den>
                        <m:r>
                          <a:rPr lang="en-US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den>
                    </m:f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(1+</m:t>
                                </m:r>
                                <m:f>
                                  <m:fPr>
                                    <m:type m:val="skw"/>
                                    <m:ctrlP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num>
                                  <m:den>
                                    <m:r>
                                      <a:rPr lang="en-US" sz="16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𝑚</m:t>
                                    </m:r>
                                  </m:den>
                                </m:f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6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</m:num>
                          <m:den>
                            <m:f>
                              <m:fPr>
                                <m:type m:val="skw"/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num>
                              <m:den>
                                <m:r>
                                  <a:rPr lang="en-US" sz="16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den>
                            </m:f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924050" y="6315075"/>
              <a:ext cx="3543300" cy="636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𝑃𝑉𝐴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𝑃𝑀𝑇⁄</a:t>
              </a:r>
              <a:r>
                <a:rPr lang="en-US" sz="16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𝑚 </a:t>
              </a:r>
              <a:r>
                <a:rPr lang="en-US" sz="1600" b="0" i="0">
                  <a:latin typeface="Cambria Math" panose="02040503050406030204" pitchFamily="18" charset="0"/>
                </a:rPr>
                <a:t>((1−〖(1+𝑖⁄</a:t>
              </a:r>
              <a:r>
                <a:rPr lang="en-US" sz="16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𝑚</a:t>
              </a:r>
              <a:r>
                <a:rPr lang="en-US" sz="1600" b="0" i="0">
                  <a:latin typeface="Cambria Math" panose="02040503050406030204" pitchFamily="18" charset="0"/>
                </a:rPr>
                <a:t>)〗^(−</a:t>
              </a:r>
              <a:r>
                <a:rPr lang="en-US" sz="16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𝑚</a:t>
              </a:r>
              <a:r>
                <a:rPr lang="en-US" sz="1600" b="0" i="0">
                  <a:latin typeface="Cambria Math" panose="02040503050406030204" pitchFamily="18" charset="0"/>
                </a:rPr>
                <a:t>𝑛))/(𝑖⁄</a:t>
              </a:r>
              <a:r>
                <a:rPr lang="en-US" sz="16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𝑚))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8</xdr:row>
      <xdr:rowOff>85725</xdr:rowOff>
    </xdr:from>
    <xdr:to>
      <xdr:col>9</xdr:col>
      <xdr:colOff>361162</xdr:colOff>
      <xdr:row>10</xdr:row>
      <xdr:rowOff>104725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" y="1609725"/>
          <a:ext cx="6304762" cy="4000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10</xdr:col>
      <xdr:colOff>180976</xdr:colOff>
      <xdr:row>1</xdr:row>
      <xdr:rowOff>95251</xdr:rowOff>
    </xdr:from>
    <xdr:to>
      <xdr:col>13</xdr:col>
      <xdr:colOff>608266</xdr:colOff>
      <xdr:row>8</xdr:row>
      <xdr:rowOff>19051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1876" y="285751"/>
          <a:ext cx="2256090" cy="1257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257175</xdr:colOff>
      <xdr:row>24</xdr:row>
      <xdr:rowOff>104775</xdr:rowOff>
    </xdr:from>
    <xdr:ext cx="1333500" cy="461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/>
          </xdr:nvSpPr>
          <xdr:spPr>
            <a:xfrm>
              <a:off x="2085975" y="4676775"/>
              <a:ext cx="1333500" cy="461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𝑃𝑀𝑇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2085975" y="4676775"/>
              <a:ext cx="1333500" cy="461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𝑃_0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𝑃𝑀𝑇/𝑖</a:t>
              </a:r>
              <a:endParaRPr lang="en-US" sz="1600"/>
            </a:p>
          </xdr:txBody>
        </xdr:sp>
      </mc:Fallback>
    </mc:AlternateContent>
    <xdr:clientData/>
  </xdr:oneCellAnchor>
  <xdr:twoCellAnchor editAs="oneCell">
    <xdr:from>
      <xdr:col>0</xdr:col>
      <xdr:colOff>361950</xdr:colOff>
      <xdr:row>1</xdr:row>
      <xdr:rowOff>66675</xdr:rowOff>
    </xdr:from>
    <xdr:to>
      <xdr:col>9</xdr:col>
      <xdr:colOff>265921</xdr:colOff>
      <xdr:row>6</xdr:row>
      <xdr:rowOff>76080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257175"/>
          <a:ext cx="6228571" cy="96190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3</xdr:col>
      <xdr:colOff>400049</xdr:colOff>
      <xdr:row>22</xdr:row>
      <xdr:rowOff>171450</xdr:rowOff>
    </xdr:from>
    <xdr:ext cx="3000375" cy="253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2228849" y="4362450"/>
              <a:ext cx="3000375" cy="253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𝑃𝑀𝑇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ka-GE" sz="1600" b="0" i="1">
                        <a:latin typeface="Cambria Math" panose="02040503050406030204" pitchFamily="18" charset="0"/>
                      </a:rPr>
                      <m:t>ნომინალი×სარგებელი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228849" y="4362450"/>
              <a:ext cx="3000375" cy="253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𝑃𝑀𝑇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ka-GE" sz="1600" b="0" i="0">
                  <a:latin typeface="Cambria Math" panose="02040503050406030204" pitchFamily="18" charset="0"/>
                </a:rPr>
                <a:t>ნომინალი×სარგებელი</a:t>
              </a:r>
              <a:endParaRPr lang="en-US" sz="16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533399</xdr:colOff>
      <xdr:row>9</xdr:row>
      <xdr:rowOff>142875</xdr:rowOff>
    </xdr:from>
    <xdr:ext cx="8372475" cy="4035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533399" y="2238375"/>
              <a:ext cx="8372475" cy="403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a-GE" sz="1200" b="0" i="1">
                        <a:latin typeface="Cambria Math" panose="02040503050406030204" pitchFamily="18" charset="0"/>
                      </a:rPr>
                      <m:t>სარგებლის განაკვეთი</m:t>
                    </m:r>
                    <m:r>
                      <a:rPr lang="en-US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a-GE" sz="1200" b="0" i="1">
                            <a:latin typeface="Cambria Math" panose="02040503050406030204" pitchFamily="18" charset="0"/>
                          </a:rPr>
                          <m:t>მიღებული დივიდენდი 1$+კაპიტალური მოგება (23$−20$)</m:t>
                        </m:r>
                      </m:num>
                      <m:den>
                        <m:r>
                          <a:rPr lang="ka-GE" sz="1200" b="0" i="1">
                            <a:latin typeface="Cambria Math" panose="02040503050406030204" pitchFamily="18" charset="0"/>
                          </a:rPr>
                          <m:t>საწყისი ფასი 20$</m:t>
                        </m:r>
                      </m:den>
                    </m:f>
                    <m:r>
                      <a:rPr lang="ka-GE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ka-GE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a-GE" sz="1200" b="0" i="1">
                            <a:latin typeface="Cambria Math" panose="02040503050406030204" pitchFamily="18" charset="0"/>
                          </a:rPr>
                          <m:t>1+3</m:t>
                        </m:r>
                      </m:num>
                      <m:den>
                        <m:r>
                          <a:rPr lang="ka-GE" sz="1200" b="0" i="1">
                            <a:latin typeface="Cambria Math" panose="02040503050406030204" pitchFamily="18" charset="0"/>
                          </a:rPr>
                          <m:t>20</m:t>
                        </m:r>
                      </m:den>
                    </m:f>
                    <m:r>
                      <a:rPr lang="ka-GE" sz="1200" b="0" i="1">
                        <a:latin typeface="Cambria Math" panose="02040503050406030204" pitchFamily="18" charset="0"/>
                      </a:rPr>
                      <m:t>=20%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533399" y="2238375"/>
              <a:ext cx="8372475" cy="403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ka-GE" sz="1200" b="0" i="0">
                  <a:latin typeface="Cambria Math" panose="02040503050406030204" pitchFamily="18" charset="0"/>
                </a:rPr>
                <a:t>სარგებლის განაკვეთი</a:t>
              </a:r>
              <a:r>
                <a:rPr lang="en-US" sz="1200" i="0">
                  <a:latin typeface="Cambria Math" panose="02040503050406030204" pitchFamily="18" charset="0"/>
                </a:rPr>
                <a:t>=(</a:t>
              </a:r>
              <a:r>
                <a:rPr lang="ka-GE" sz="1200" b="0" i="0">
                  <a:latin typeface="Cambria Math" panose="02040503050406030204" pitchFamily="18" charset="0"/>
                </a:rPr>
                <a:t>მიღებული დივიდენდი 1$+კაპიტალური მოგება (23$−20$)</a:t>
              </a:r>
              <a:r>
                <a:rPr lang="en-US" sz="1200" b="0" i="0">
                  <a:latin typeface="Cambria Math" panose="02040503050406030204" pitchFamily="18" charset="0"/>
                </a:rPr>
                <a:t>)/(</a:t>
              </a:r>
              <a:r>
                <a:rPr lang="ka-GE" sz="1200" b="0" i="0">
                  <a:latin typeface="Cambria Math" panose="02040503050406030204" pitchFamily="18" charset="0"/>
                </a:rPr>
                <a:t>საწყისი ფასი 20$</a:t>
              </a:r>
              <a:r>
                <a:rPr lang="en-US" sz="1200" b="0" i="0">
                  <a:latin typeface="Cambria Math" panose="02040503050406030204" pitchFamily="18" charset="0"/>
                </a:rPr>
                <a:t>)</a:t>
              </a:r>
              <a:r>
                <a:rPr lang="ka-GE" sz="1200" b="0" i="0">
                  <a:latin typeface="Cambria Math" panose="02040503050406030204" pitchFamily="18" charset="0"/>
                </a:rPr>
                <a:t>=</a:t>
              </a:r>
              <a:r>
                <a:rPr lang="ka-GE" sz="1200" b="0" i="0"/>
                <a:t>(1+3)/20=20%</a:t>
              </a:r>
              <a:endParaRPr lang="en-US" sz="1200"/>
            </a:p>
          </xdr:txBody>
        </xdr:sp>
      </mc:Fallback>
    </mc:AlternateContent>
    <xdr:clientData/>
  </xdr:oneCellAnchor>
  <xdr:twoCellAnchor editAs="oneCell">
    <xdr:from>
      <xdr:col>0</xdr:col>
      <xdr:colOff>361950</xdr:colOff>
      <xdr:row>1</xdr:row>
      <xdr:rowOff>38100</xdr:rowOff>
    </xdr:from>
    <xdr:to>
      <xdr:col>10</xdr:col>
      <xdr:colOff>446879</xdr:colOff>
      <xdr:row>5</xdr:row>
      <xdr:rowOff>38005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228600"/>
          <a:ext cx="6371429" cy="76190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457200</xdr:colOff>
      <xdr:row>20</xdr:row>
      <xdr:rowOff>180975</xdr:rowOff>
    </xdr:from>
    <xdr:ext cx="2635282" cy="5046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2457450" y="4448175"/>
              <a:ext cx="2635282" cy="504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600" i="1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457450" y="4448175"/>
              <a:ext cx="2635282" cy="504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𝑉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𝐷_1/((𝑘_𝑒−𝑔))</a:t>
              </a:r>
              <a:endParaRPr lang="en-US" sz="1600" i="1"/>
            </a:p>
          </xdr:txBody>
        </xdr:sp>
      </mc:Fallback>
    </mc:AlternateContent>
    <xdr:clientData/>
  </xdr:oneCellAnchor>
  <xdr:twoCellAnchor editAs="oneCell">
    <xdr:from>
      <xdr:col>0</xdr:col>
      <xdr:colOff>352425</xdr:colOff>
      <xdr:row>0</xdr:row>
      <xdr:rowOff>171450</xdr:rowOff>
    </xdr:from>
    <xdr:to>
      <xdr:col>8</xdr:col>
      <xdr:colOff>551663</xdr:colOff>
      <xdr:row>5</xdr:row>
      <xdr:rowOff>171331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71450"/>
          <a:ext cx="6295238" cy="95238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3</xdr:col>
      <xdr:colOff>28575</xdr:colOff>
      <xdr:row>23</xdr:row>
      <xdr:rowOff>161925</xdr:rowOff>
    </xdr:from>
    <xdr:ext cx="243840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2638425" y="5000625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𝑃𝑉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𝐹𝑉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638425" y="5000625"/>
              <a:ext cx="24384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〖𝑃𝑉〗_0</a:t>
              </a:r>
              <a:r>
                <a:rPr lang="en-US" sz="1600" i="0">
                  <a:latin typeface="Cambria Math" panose="02040503050406030204" pitchFamily="18" charset="0"/>
                </a:rPr>
                <a:t>=〖</a:t>
              </a:r>
              <a:r>
                <a:rPr lang="en-US" sz="1600" b="0" i="0">
                  <a:latin typeface="Cambria Math" panose="02040503050406030204" pitchFamily="18" charset="0"/>
                </a:rPr>
                <a:t>𝐹𝑉〗_𝑛/</a:t>
              </a:r>
              <a:r>
                <a:rPr lang="en-US" sz="1600" i="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latin typeface="Cambria Math" panose="02040503050406030204" pitchFamily="18" charset="0"/>
                </a:rPr>
                <a:t>(1+𝑖)〗^𝑛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276225</xdr:colOff>
      <xdr:row>27</xdr:row>
      <xdr:rowOff>57150</xdr:rowOff>
    </xdr:from>
    <xdr:ext cx="2438400" cy="5046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2105025" y="5276850"/>
              <a:ext cx="2438400" cy="504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105025" y="5276850"/>
              <a:ext cx="2438400" cy="504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𝑉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𝐷_1/((𝑖−𝑔))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0</xdr:col>
      <xdr:colOff>561975</xdr:colOff>
      <xdr:row>0</xdr:row>
      <xdr:rowOff>133350</xdr:rowOff>
    </xdr:from>
    <xdr:to>
      <xdr:col>10</xdr:col>
      <xdr:colOff>608808</xdr:colOff>
      <xdr:row>12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133350"/>
          <a:ext cx="6333333" cy="21907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104775</xdr:rowOff>
    </xdr:from>
    <xdr:to>
      <xdr:col>10</xdr:col>
      <xdr:colOff>56362</xdr:colOff>
      <xdr:row>8</xdr:row>
      <xdr:rowOff>85537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104775"/>
          <a:ext cx="6304762" cy="150476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3</xdr:col>
      <xdr:colOff>298418</xdr:colOff>
      <xdr:row>27</xdr:row>
      <xdr:rowOff>70326</xdr:rowOff>
    </xdr:from>
    <xdr:ext cx="2033827" cy="4524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SpPr txBox="1"/>
          </xdr:nvSpPr>
          <xdr:spPr>
            <a:xfrm>
              <a:off x="2127218" y="5213826"/>
              <a:ext cx="2033827" cy="452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a-GE" sz="1400" b="0" i="1">
                        <a:latin typeface="Cambria Math" panose="02040503050406030204" pitchFamily="18" charset="0"/>
                      </a:rPr>
                      <m:t>სარგებელი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𝑃𝑀𝑇</m:t>
                        </m:r>
                      </m:num>
                      <m:den>
                        <m:r>
                          <a:rPr lang="ka-GE" sz="1400" b="0" i="1">
                            <a:latin typeface="Cambria Math" panose="02040503050406030204" pitchFamily="18" charset="0"/>
                          </a:rPr>
                          <m:t>ნომინალი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127218" y="5213826"/>
              <a:ext cx="2033827" cy="452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a-GE" sz="1400" b="0" i="0">
                  <a:latin typeface="Cambria Math" panose="02040503050406030204" pitchFamily="18" charset="0"/>
                </a:rPr>
                <a:t>სარგებელი</a:t>
              </a:r>
              <a:r>
                <a:rPr lang="en-US" sz="140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panose="02040503050406030204" pitchFamily="18" charset="0"/>
                </a:rPr>
                <a:t>𝑃𝑀𝑇/</a:t>
              </a:r>
              <a:r>
                <a:rPr lang="ka-GE" sz="1400" b="0" i="0">
                  <a:latin typeface="Cambria Math" panose="02040503050406030204" pitchFamily="18" charset="0"/>
                </a:rPr>
                <a:t>ნომინალი</a:t>
              </a:r>
              <a:endParaRPr lang="en-US" sz="14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171450</xdr:rowOff>
    </xdr:from>
    <xdr:to>
      <xdr:col>8</xdr:col>
      <xdr:colOff>751681</xdr:colOff>
      <xdr:row>6</xdr:row>
      <xdr:rowOff>152260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171450"/>
          <a:ext cx="6352381" cy="112381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2</xdr:col>
      <xdr:colOff>28575</xdr:colOff>
      <xdr:row>23</xdr:row>
      <xdr:rowOff>19050</xdr:rowOff>
    </xdr:from>
    <xdr:ext cx="2438400" cy="461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SpPr txBox="1"/>
          </xdr:nvSpPr>
          <xdr:spPr>
            <a:xfrm>
              <a:off x="1247775" y="4400550"/>
              <a:ext cx="2438400" cy="461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247775" y="4400550"/>
              <a:ext cx="2438400" cy="461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𝑉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𝐷/𝑖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7"/>
  <sheetViews>
    <sheetView workbookViewId="0">
      <selection activeCell="G24" sqref="G24"/>
    </sheetView>
  </sheetViews>
  <sheetFormatPr baseColWidth="10" defaultColWidth="8.7265625" defaultRowHeight="14.5" x14ac:dyDescent="0.35"/>
  <sheetData>
    <row r="3" spans="2:4" x14ac:dyDescent="0.35">
      <c r="D3" s="1"/>
    </row>
    <row r="5" spans="2:4" x14ac:dyDescent="0.35">
      <c r="B5" s="2"/>
    </row>
    <row r="7" spans="2:4" x14ac:dyDescent="0.35">
      <c r="B7" s="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N41"/>
  <sheetViews>
    <sheetView workbookViewId="0">
      <pane ySplit="10" topLeftCell="A27" activePane="bottomLeft" state="frozen"/>
      <selection pane="bottomLeft" activeCell="J17" sqref="J17"/>
    </sheetView>
  </sheetViews>
  <sheetFormatPr baseColWidth="10" defaultColWidth="9.1796875" defaultRowHeight="14.5" x14ac:dyDescent="0.35"/>
  <cols>
    <col min="1" max="3" width="9.1796875" style="8"/>
    <col min="4" max="4" width="22.1796875" style="8" customWidth="1"/>
    <col min="5" max="14" width="11.1796875" style="8" customWidth="1"/>
    <col min="15" max="16384" width="9.1796875" style="8"/>
  </cols>
  <sheetData>
    <row r="2" spans="4:14" x14ac:dyDescent="0.35">
      <c r="N2" s="27"/>
    </row>
    <row r="13" spans="4:14" x14ac:dyDescent="0.35">
      <c r="D13" s="9" t="s">
        <v>5</v>
      </c>
      <c r="E13" s="10"/>
      <c r="F13" s="10"/>
      <c r="G13" s="11"/>
    </row>
    <row r="14" spans="4:14" x14ac:dyDescent="0.35">
      <c r="D14" s="15" t="s">
        <v>22</v>
      </c>
      <c r="E14" s="16">
        <v>1000</v>
      </c>
      <c r="F14" s="13" t="s">
        <v>21</v>
      </c>
      <c r="G14" s="14"/>
    </row>
    <row r="15" spans="4:14" x14ac:dyDescent="0.35">
      <c r="D15" s="12"/>
      <c r="E15" s="13"/>
      <c r="F15" s="13"/>
      <c r="G15" s="14"/>
    </row>
    <row r="16" spans="4:14" x14ac:dyDescent="0.35">
      <c r="D16" s="59" t="s">
        <v>24</v>
      </c>
      <c r="E16" s="18">
        <v>0.09</v>
      </c>
      <c r="F16" s="13" t="s">
        <v>25</v>
      </c>
      <c r="G16" s="14"/>
    </row>
    <row r="17" spans="3:14" x14ac:dyDescent="0.35">
      <c r="D17" s="12"/>
      <c r="E17" s="13"/>
      <c r="F17" s="13"/>
      <c r="G17" s="14"/>
    </row>
    <row r="18" spans="3:14" x14ac:dyDescent="0.35">
      <c r="D18" s="15" t="s">
        <v>2</v>
      </c>
      <c r="E18" s="17">
        <v>15</v>
      </c>
      <c r="F18" s="13"/>
      <c r="G18" s="14"/>
      <c r="J18"/>
      <c r="K18"/>
      <c r="L18"/>
      <c r="M18"/>
      <c r="N18"/>
    </row>
    <row r="19" spans="3:14" x14ac:dyDescent="0.35">
      <c r="D19" s="12"/>
      <c r="E19" s="13"/>
      <c r="F19" s="13"/>
      <c r="G19" s="14"/>
      <c r="J19"/>
      <c r="K19"/>
      <c r="L19"/>
      <c r="M19"/>
      <c r="N19"/>
    </row>
    <row r="20" spans="3:14" x14ac:dyDescent="0.35">
      <c r="D20" s="15" t="s">
        <v>16</v>
      </c>
      <c r="E20" s="17">
        <v>2</v>
      </c>
      <c r="F20" s="13"/>
      <c r="G20" s="14"/>
      <c r="J20"/>
      <c r="K20"/>
      <c r="L20"/>
      <c r="M20"/>
      <c r="N20"/>
    </row>
    <row r="21" spans="3:14" x14ac:dyDescent="0.35">
      <c r="D21" s="12"/>
      <c r="E21" s="13"/>
      <c r="F21" s="13"/>
      <c r="G21" s="14"/>
    </row>
    <row r="22" spans="3:14" x14ac:dyDescent="0.35">
      <c r="D22" s="15" t="s">
        <v>3</v>
      </c>
      <c r="E22" s="18">
        <v>0.14000000000000001</v>
      </c>
      <c r="G22" s="14"/>
    </row>
    <row r="23" spans="3:14" x14ac:dyDescent="0.35">
      <c r="D23" s="15"/>
      <c r="E23" s="18"/>
      <c r="F23" s="18"/>
      <c r="G23" s="19"/>
      <c r="K23" s="54"/>
    </row>
    <row r="24" spans="3:14" x14ac:dyDescent="0.35">
      <c r="D24" s="20" t="s">
        <v>1</v>
      </c>
      <c r="E24" s="21" t="s">
        <v>4</v>
      </c>
      <c r="F24" s="21"/>
      <c r="G24" s="22"/>
    </row>
    <row r="26" spans="3:14" x14ac:dyDescent="0.35">
      <c r="D26" s="8" t="s">
        <v>6</v>
      </c>
    </row>
    <row r="28" spans="3:14" x14ac:dyDescent="0.35">
      <c r="C28" s="8">
        <v>1</v>
      </c>
    </row>
    <row r="30" spans="3:14" x14ac:dyDescent="0.35">
      <c r="C30" s="8">
        <v>2</v>
      </c>
    </row>
    <row r="32" spans="3:14" x14ac:dyDescent="0.35">
      <c r="C32" s="8">
        <v>3</v>
      </c>
    </row>
    <row r="34" spans="4:9" x14ac:dyDescent="0.35">
      <c r="D34" s="8" t="s">
        <v>7</v>
      </c>
    </row>
    <row r="36" spans="4:9" x14ac:dyDescent="0.35">
      <c r="F36" s="86" t="s">
        <v>40</v>
      </c>
      <c r="G36" s="86"/>
      <c r="H36" s="86"/>
      <c r="I36" s="86"/>
    </row>
    <row r="37" spans="4:9" x14ac:dyDescent="0.35">
      <c r="D37" s="86"/>
      <c r="E37" s="86"/>
      <c r="F37" s="87" t="s">
        <v>8</v>
      </c>
      <c r="G37" s="87"/>
      <c r="H37" s="88" t="s">
        <v>9</v>
      </c>
      <c r="I37" s="88"/>
    </row>
    <row r="38" spans="4:9" x14ac:dyDescent="0.35">
      <c r="D38" s="89" t="s">
        <v>34</v>
      </c>
      <c r="E38" s="89"/>
      <c r="F38" s="90">
        <f>E14*E16</f>
        <v>90</v>
      </c>
      <c r="G38" s="90"/>
      <c r="H38" s="91">
        <f>PV(E22/E20,E20*E18,F38/E20,E14)</f>
        <v>-689.77397041235338</v>
      </c>
      <c r="I38" s="92"/>
    </row>
    <row r="39" spans="4:9" x14ac:dyDescent="0.35">
      <c r="D39" s="89" t="s">
        <v>29</v>
      </c>
      <c r="E39" s="89"/>
      <c r="F39" s="90">
        <f>(F38/E20)*((1-(1+E22/E20)^(-E20*E18))/(E22/E20))</f>
        <v>558.4068532577636</v>
      </c>
      <c r="G39" s="90"/>
      <c r="H39" s="93"/>
      <c r="I39" s="94"/>
    </row>
    <row r="40" spans="4:9" x14ac:dyDescent="0.35">
      <c r="D40" s="89" t="s">
        <v>30</v>
      </c>
      <c r="E40" s="89"/>
      <c r="F40" s="90">
        <f>E14/(1+E22/E20)^(E20*E18)</f>
        <v>131.36711715458981</v>
      </c>
      <c r="G40" s="90"/>
      <c r="H40" s="93"/>
      <c r="I40" s="94"/>
    </row>
    <row r="41" spans="4:9" x14ac:dyDescent="0.35">
      <c r="D41" s="97" t="s">
        <v>31</v>
      </c>
      <c r="E41" s="97"/>
      <c r="F41" s="98">
        <f>F39+F40</f>
        <v>689.77397041235338</v>
      </c>
      <c r="G41" s="98"/>
      <c r="H41" s="95"/>
      <c r="I41" s="96"/>
    </row>
  </sheetData>
  <mergeCells count="13">
    <mergeCell ref="D40:E40"/>
    <mergeCell ref="F40:G40"/>
    <mergeCell ref="D41:E41"/>
    <mergeCell ref="F41:G41"/>
    <mergeCell ref="D38:E38"/>
    <mergeCell ref="F38:G38"/>
    <mergeCell ref="F36:I36"/>
    <mergeCell ref="D37:E37"/>
    <mergeCell ref="F37:G37"/>
    <mergeCell ref="H37:I37"/>
    <mergeCell ref="D39:E39"/>
    <mergeCell ref="F39:G39"/>
    <mergeCell ref="H38:I41"/>
  </mergeCells>
  <pageMargins left="0.7" right="0.7" top="0.75" bottom="0.75" header="0.3" footer="0.3"/>
  <pageSetup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O41"/>
  <sheetViews>
    <sheetView workbookViewId="0">
      <pane ySplit="8" topLeftCell="A35" activePane="bottomLeft" state="frozen"/>
      <selection pane="bottomLeft"/>
    </sheetView>
  </sheetViews>
  <sheetFormatPr baseColWidth="10" defaultColWidth="9.1796875" defaultRowHeight="14.5" x14ac:dyDescent="0.35"/>
  <cols>
    <col min="1" max="1" width="9.1796875" style="8"/>
    <col min="2" max="2" width="12" style="8" customWidth="1"/>
    <col min="3" max="3" width="14.1796875" style="8" customWidth="1"/>
    <col min="4" max="14" width="11.1796875" style="8" customWidth="1"/>
    <col min="15" max="16384" width="9.1796875" style="8"/>
  </cols>
  <sheetData>
    <row r="2" spans="3:14" x14ac:dyDescent="0.35">
      <c r="N2" s="27"/>
    </row>
    <row r="11" spans="3:14" x14ac:dyDescent="0.35">
      <c r="C11" s="9"/>
      <c r="D11" s="10" t="s">
        <v>5</v>
      </c>
      <c r="E11" s="10"/>
      <c r="F11" s="10"/>
      <c r="G11" s="11"/>
      <c r="M11" s="13"/>
      <c r="N11" s="13"/>
    </row>
    <row r="12" spans="3:14" x14ac:dyDescent="0.35">
      <c r="C12" s="12"/>
      <c r="D12" s="13"/>
      <c r="E12" s="13"/>
      <c r="F12" s="13"/>
      <c r="G12" s="14"/>
      <c r="M12" s="13"/>
      <c r="N12" s="13"/>
    </row>
    <row r="13" spans="3:14" x14ac:dyDescent="0.35">
      <c r="C13" s="12"/>
      <c r="D13" s="45" t="s">
        <v>44</v>
      </c>
      <c r="E13" s="16">
        <v>1.4</v>
      </c>
      <c r="F13" s="13"/>
      <c r="G13" s="14"/>
      <c r="M13" s="13"/>
      <c r="N13" s="13"/>
    </row>
    <row r="14" spans="3:14" x14ac:dyDescent="0.35">
      <c r="C14" s="12"/>
      <c r="D14" s="13"/>
      <c r="E14" s="13"/>
      <c r="F14" s="13"/>
      <c r="G14" s="14"/>
      <c r="M14" s="13"/>
      <c r="N14" s="13"/>
    </row>
    <row r="15" spans="3:14" x14ac:dyDescent="0.35">
      <c r="C15" s="12"/>
      <c r="D15" s="45" t="s">
        <v>50</v>
      </c>
      <c r="E15" s="51">
        <v>21</v>
      </c>
      <c r="F15" s="13"/>
      <c r="G15" s="14"/>
      <c r="M15" s="13"/>
      <c r="N15" s="13"/>
    </row>
    <row r="16" spans="3:14" x14ac:dyDescent="0.35">
      <c r="C16" s="12"/>
      <c r="D16" s="13"/>
      <c r="E16" s="13"/>
      <c r="F16" s="13"/>
      <c r="G16" s="14"/>
      <c r="M16" s="61"/>
      <c r="N16" s="13"/>
    </row>
    <row r="17" spans="2:14" ht="21" x14ac:dyDescent="0.35">
      <c r="C17" s="12"/>
      <c r="D17" s="45" t="s">
        <v>2</v>
      </c>
      <c r="E17" s="29" t="s">
        <v>17</v>
      </c>
      <c r="F17" s="45"/>
      <c r="G17" s="62"/>
      <c r="M17" s="13"/>
      <c r="N17" s="13"/>
    </row>
    <row r="18" spans="2:14" x14ac:dyDescent="0.35">
      <c r="C18" s="12"/>
      <c r="D18" s="45"/>
      <c r="E18" s="17"/>
      <c r="F18" s="45"/>
      <c r="G18" s="62"/>
      <c r="M18" s="13"/>
      <c r="N18" s="13"/>
    </row>
    <row r="19" spans="2:14" x14ac:dyDescent="0.35">
      <c r="C19" s="12"/>
      <c r="D19" s="45" t="s">
        <v>48</v>
      </c>
      <c r="E19" s="18">
        <v>0.12</v>
      </c>
      <c r="F19" s="13" t="s">
        <v>49</v>
      </c>
      <c r="G19" s="14"/>
      <c r="M19" s="13"/>
      <c r="N19" s="13"/>
    </row>
    <row r="20" spans="2:14" x14ac:dyDescent="0.35">
      <c r="C20" s="12"/>
      <c r="D20" s="13"/>
      <c r="E20" s="13"/>
      <c r="F20" s="13"/>
      <c r="G20" s="14"/>
      <c r="M20" s="13"/>
      <c r="N20" s="13"/>
    </row>
    <row r="21" spans="2:14" x14ac:dyDescent="0.35">
      <c r="C21" s="12"/>
      <c r="D21" s="45" t="s">
        <v>76</v>
      </c>
      <c r="E21" s="42" t="s">
        <v>4</v>
      </c>
      <c r="F21" s="13"/>
      <c r="G21" s="14"/>
      <c r="M21" s="13"/>
      <c r="N21" s="13"/>
    </row>
    <row r="22" spans="2:14" x14ac:dyDescent="0.35">
      <c r="C22" s="12"/>
      <c r="D22" s="45" t="s">
        <v>77</v>
      </c>
      <c r="E22" s="18" t="s">
        <v>4</v>
      </c>
      <c r="F22" s="13"/>
      <c r="G22" s="14"/>
    </row>
    <row r="23" spans="2:14" x14ac:dyDescent="0.35">
      <c r="C23" s="63"/>
      <c r="D23" s="64" t="s">
        <v>78</v>
      </c>
      <c r="E23" s="65" t="s">
        <v>4</v>
      </c>
      <c r="F23" s="21"/>
      <c r="G23" s="22"/>
    </row>
    <row r="25" spans="2:14" x14ac:dyDescent="0.35">
      <c r="D25" s="8" t="s">
        <v>6</v>
      </c>
    </row>
    <row r="27" spans="2:14" x14ac:dyDescent="0.35">
      <c r="B27" s="8">
        <v>1</v>
      </c>
      <c r="G27" s="25" t="s">
        <v>18</v>
      </c>
    </row>
    <row r="28" spans="2:14" x14ac:dyDescent="0.35">
      <c r="G28" s="25"/>
    </row>
    <row r="29" spans="2:14" x14ac:dyDescent="0.35">
      <c r="G29" s="25"/>
    </row>
    <row r="30" spans="2:14" x14ac:dyDescent="0.35">
      <c r="B30" s="8">
        <v>2</v>
      </c>
      <c r="G30" s="25" t="s">
        <v>18</v>
      </c>
    </row>
    <row r="32" spans="2:14" x14ac:dyDescent="0.35">
      <c r="D32" s="8" t="s">
        <v>7</v>
      </c>
    </row>
    <row r="34" spans="2:15" x14ac:dyDescent="0.35">
      <c r="D34"/>
      <c r="E34"/>
      <c r="F34"/>
      <c r="G34"/>
    </row>
    <row r="35" spans="2:15" x14ac:dyDescent="0.35">
      <c r="B35" s="87"/>
      <c r="C35" s="87"/>
      <c r="D35" s="111" t="s">
        <v>8</v>
      </c>
      <c r="E35" s="87"/>
      <c r="F35"/>
      <c r="G35"/>
    </row>
    <row r="36" spans="2:15" x14ac:dyDescent="0.35">
      <c r="B36" s="110" t="s">
        <v>76</v>
      </c>
      <c r="C36" s="110"/>
      <c r="D36" s="112">
        <f>(E15*E19-E13)/(E15+E13)</f>
        <v>5.000000000000001E-2</v>
      </c>
      <c r="E36" s="113"/>
      <c r="F36"/>
      <c r="G36"/>
    </row>
    <row r="37" spans="2:15" x14ac:dyDescent="0.35">
      <c r="B37" s="110" t="s">
        <v>77</v>
      </c>
      <c r="C37" s="110"/>
      <c r="D37" s="112">
        <f>E13*(1+D36)/E15</f>
        <v>6.9999999999999993E-2</v>
      </c>
      <c r="E37" s="113"/>
      <c r="F37"/>
      <c r="G37"/>
    </row>
    <row r="38" spans="2:15" x14ac:dyDescent="0.35">
      <c r="B38" s="109" t="s">
        <v>79</v>
      </c>
      <c r="C38" s="109"/>
      <c r="D38" s="112">
        <f>D36</f>
        <v>5.000000000000001E-2</v>
      </c>
      <c r="E38" s="113"/>
      <c r="F38"/>
      <c r="G38"/>
      <c r="H38"/>
      <c r="I38"/>
      <c r="J38"/>
      <c r="K38"/>
      <c r="L38"/>
      <c r="M38"/>
      <c r="N38"/>
      <c r="O38"/>
    </row>
    <row r="39" spans="2:15" x14ac:dyDescent="0.35"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2:15" x14ac:dyDescent="0.35"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2:15" x14ac:dyDescent="0.35">
      <c r="C41"/>
      <c r="D41"/>
      <c r="E41"/>
      <c r="F41"/>
      <c r="G41"/>
      <c r="H41"/>
      <c r="I41"/>
      <c r="J41"/>
      <c r="K41"/>
      <c r="L41"/>
      <c r="M41"/>
      <c r="N41"/>
      <c r="O41"/>
    </row>
  </sheetData>
  <mergeCells count="8">
    <mergeCell ref="B38:C38"/>
    <mergeCell ref="B37:C37"/>
    <mergeCell ref="B36:C36"/>
    <mergeCell ref="B35:C35"/>
    <mergeCell ref="D35:E35"/>
    <mergeCell ref="D36:E36"/>
    <mergeCell ref="D37:E37"/>
    <mergeCell ref="D38:E38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6:O42"/>
  <sheetViews>
    <sheetView workbookViewId="0">
      <pane ySplit="10" topLeftCell="A11" activePane="bottomLeft" state="frozen"/>
      <selection pane="bottomLeft"/>
    </sheetView>
  </sheetViews>
  <sheetFormatPr baseColWidth="10" defaultColWidth="9.1796875" defaultRowHeight="14.5" x14ac:dyDescent="0.35"/>
  <cols>
    <col min="1" max="2" width="9.1796875" style="8"/>
    <col min="3" max="3" width="11.54296875" style="8" bestFit="1" customWidth="1"/>
    <col min="4" max="4" width="14.453125" style="8" customWidth="1"/>
    <col min="5" max="5" width="14.26953125" style="8" bestFit="1" customWidth="1"/>
    <col min="6" max="14" width="11.1796875" style="8" customWidth="1"/>
    <col min="15" max="16384" width="9.1796875" style="8"/>
  </cols>
  <sheetData>
    <row r="6" spans="4:14" x14ac:dyDescent="0.35">
      <c r="N6" s="27"/>
    </row>
    <row r="13" spans="4:14" x14ac:dyDescent="0.35">
      <c r="D13" s="9" t="s">
        <v>5</v>
      </c>
      <c r="E13" s="10"/>
      <c r="F13" s="10"/>
      <c r="G13" s="11"/>
    </row>
    <row r="14" spans="4:14" x14ac:dyDescent="0.35">
      <c r="D14" s="12"/>
      <c r="E14" s="13"/>
      <c r="F14" s="13"/>
      <c r="G14" s="14"/>
    </row>
    <row r="15" spans="4:14" x14ac:dyDescent="0.35">
      <c r="D15" s="15" t="s">
        <v>50</v>
      </c>
      <c r="E15" s="16">
        <v>1120</v>
      </c>
      <c r="F15" s="13"/>
      <c r="G15" s="14"/>
    </row>
    <row r="16" spans="4:14" x14ac:dyDescent="0.35">
      <c r="D16" s="12"/>
      <c r="E16" s="13"/>
      <c r="F16" s="13"/>
      <c r="G16" s="14"/>
    </row>
    <row r="17" spans="3:13" x14ac:dyDescent="0.35">
      <c r="D17" s="15" t="s">
        <v>80</v>
      </c>
      <c r="E17" s="16">
        <v>45</v>
      </c>
      <c r="G17" s="14"/>
      <c r="L17" s="60">
        <f>45/1120</f>
        <v>4.0178571428571432E-2</v>
      </c>
      <c r="M17" s="60">
        <f>L17*2</f>
        <v>8.0357142857142863E-2</v>
      </c>
    </row>
    <row r="18" spans="3:13" x14ac:dyDescent="0.35">
      <c r="D18" s="15"/>
      <c r="E18" s="18"/>
      <c r="F18" s="18"/>
      <c r="G18" s="19"/>
      <c r="M18" s="60">
        <f>(1+L17)^2-1</f>
        <v>8.1971460459183687E-2</v>
      </c>
    </row>
    <row r="19" spans="3:13" x14ac:dyDescent="0.35">
      <c r="D19" s="15" t="s">
        <v>2</v>
      </c>
      <c r="E19" s="66" t="s">
        <v>17</v>
      </c>
      <c r="F19" s="13"/>
      <c r="G19" s="14"/>
    </row>
    <row r="20" spans="3:13" x14ac:dyDescent="0.35">
      <c r="D20" s="15"/>
      <c r="E20" s="18"/>
      <c r="F20" s="18"/>
      <c r="G20" s="19"/>
    </row>
    <row r="21" spans="3:13" x14ac:dyDescent="0.35">
      <c r="D21" s="15" t="s">
        <v>16</v>
      </c>
      <c r="E21" s="68">
        <v>2</v>
      </c>
      <c r="F21" s="18"/>
      <c r="G21" s="19"/>
    </row>
    <row r="22" spans="3:13" x14ac:dyDescent="0.35">
      <c r="D22" s="15"/>
      <c r="E22" s="18"/>
      <c r="F22" s="18"/>
      <c r="G22" s="19"/>
    </row>
    <row r="23" spans="3:13" x14ac:dyDescent="0.35">
      <c r="D23" s="15" t="s">
        <v>3</v>
      </c>
      <c r="E23" s="18" t="s">
        <v>4</v>
      </c>
      <c r="F23" s="18"/>
      <c r="G23" s="19"/>
    </row>
    <row r="24" spans="3:13" x14ac:dyDescent="0.35">
      <c r="D24" s="15" t="s">
        <v>81</v>
      </c>
      <c r="E24" s="18" t="s">
        <v>4</v>
      </c>
      <c r="F24" s="18"/>
      <c r="G24" s="19"/>
    </row>
    <row r="25" spans="3:13" x14ac:dyDescent="0.35">
      <c r="D25" s="20" t="s">
        <v>82</v>
      </c>
      <c r="E25" s="21" t="s">
        <v>4</v>
      </c>
      <c r="F25" s="21"/>
      <c r="G25" s="22"/>
    </row>
    <row r="27" spans="3:13" x14ac:dyDescent="0.35">
      <c r="D27" s="8" t="s">
        <v>6</v>
      </c>
    </row>
    <row r="29" spans="3:13" x14ac:dyDescent="0.35">
      <c r="C29" s="8">
        <v>1</v>
      </c>
      <c r="G29" s="25" t="s">
        <v>18</v>
      </c>
    </row>
    <row r="30" spans="3:13" x14ac:dyDescent="0.35">
      <c r="G30" s="25"/>
    </row>
    <row r="31" spans="3:13" x14ac:dyDescent="0.35">
      <c r="C31" s="8">
        <v>2</v>
      </c>
      <c r="G31" s="25"/>
    </row>
    <row r="33" spans="3:15" x14ac:dyDescent="0.35">
      <c r="D33" s="8" t="s">
        <v>7</v>
      </c>
    </row>
    <row r="35" spans="3:15" x14ac:dyDescent="0.35">
      <c r="D35"/>
      <c r="E35"/>
      <c r="F35"/>
      <c r="G35"/>
    </row>
    <row r="36" spans="3:15" x14ac:dyDescent="0.35">
      <c r="C36"/>
      <c r="D36" s="87" t="s">
        <v>8</v>
      </c>
      <c r="E36" s="87"/>
      <c r="F36"/>
      <c r="G36"/>
    </row>
    <row r="37" spans="3:15" x14ac:dyDescent="0.35">
      <c r="C37" s="67" t="str">
        <f>D23</f>
        <v>i=</v>
      </c>
      <c r="D37" s="113">
        <f>E17/E15</f>
        <v>4.0178571428571432E-2</v>
      </c>
      <c r="E37" s="113"/>
      <c r="F37"/>
      <c r="G37"/>
    </row>
    <row r="38" spans="3:15" x14ac:dyDescent="0.35">
      <c r="C38" s="67" t="str">
        <f t="shared" ref="C38:C39" si="0">D24</f>
        <v xml:space="preserve"> წლიური i=</v>
      </c>
      <c r="D38" s="113">
        <f>D37*E21</f>
        <v>8.0357142857142863E-2</v>
      </c>
      <c r="E38" s="113"/>
      <c r="F38"/>
      <c r="G38"/>
    </row>
    <row r="39" spans="3:15" x14ac:dyDescent="0.35">
      <c r="C39" s="67" t="str">
        <f t="shared" si="0"/>
        <v xml:space="preserve"> ეფექტური i=</v>
      </c>
      <c r="D39" s="113">
        <f>(1+D37)^E21-1</f>
        <v>8.1971460459183687E-2</v>
      </c>
      <c r="E39" s="113"/>
      <c r="F39"/>
      <c r="G39"/>
      <c r="H39"/>
      <c r="I39"/>
      <c r="J39"/>
      <c r="K39"/>
      <c r="L39"/>
      <c r="M39"/>
      <c r="N39"/>
      <c r="O39"/>
    </row>
    <row r="40" spans="3:15" x14ac:dyDescent="0.35"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3:15" x14ac:dyDescent="0.35"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3:15" x14ac:dyDescent="0.35">
      <c r="C42"/>
      <c r="D42"/>
      <c r="E42"/>
      <c r="F42"/>
      <c r="G42"/>
      <c r="H42"/>
      <c r="I42"/>
      <c r="J42"/>
      <c r="K42"/>
      <c r="L42"/>
      <c r="M42"/>
      <c r="N42"/>
      <c r="O42"/>
    </row>
  </sheetData>
  <mergeCells count="4">
    <mergeCell ref="D38:E38"/>
    <mergeCell ref="D39:E39"/>
    <mergeCell ref="D36:E36"/>
    <mergeCell ref="D37:E37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2:X46"/>
  <sheetViews>
    <sheetView workbookViewId="0">
      <pane ySplit="12" topLeftCell="A23" activePane="bottomLeft" state="frozen"/>
      <selection pane="bottomLeft"/>
    </sheetView>
  </sheetViews>
  <sheetFormatPr baseColWidth="10" defaultColWidth="9.1796875" defaultRowHeight="14.5" x14ac:dyDescent="0.35"/>
  <cols>
    <col min="1" max="2" width="9.1796875" style="8"/>
    <col min="3" max="3" width="14.81640625" style="8" customWidth="1"/>
    <col min="4" max="4" width="11.1796875" style="8" customWidth="1"/>
    <col min="5" max="5" width="14.26953125" style="8" bestFit="1" customWidth="1"/>
    <col min="6" max="10" width="11.1796875" style="8" customWidth="1"/>
    <col min="11" max="11" width="11.54296875" style="8" bestFit="1" customWidth="1"/>
    <col min="12" max="14" width="11.1796875" style="8" customWidth="1"/>
    <col min="15" max="23" width="9.1796875" style="8"/>
    <col min="24" max="24" width="10.54296875" style="8" bestFit="1" customWidth="1"/>
    <col min="25" max="16384" width="9.1796875" style="8"/>
  </cols>
  <sheetData>
    <row r="2" spans="3:14" x14ac:dyDescent="0.35">
      <c r="N2" s="27"/>
    </row>
    <row r="3" spans="3:14" x14ac:dyDescent="0.35">
      <c r="N3" s="27"/>
    </row>
    <row r="4" spans="3:14" x14ac:dyDescent="0.35">
      <c r="N4" s="27"/>
    </row>
    <row r="5" spans="3:14" x14ac:dyDescent="0.35">
      <c r="N5" s="27"/>
    </row>
    <row r="6" spans="3:14" x14ac:dyDescent="0.35">
      <c r="N6" s="27"/>
    </row>
    <row r="7" spans="3:14" x14ac:dyDescent="0.35">
      <c r="N7" s="27"/>
    </row>
    <row r="8" spans="3:14" x14ac:dyDescent="0.35">
      <c r="N8" s="27"/>
    </row>
    <row r="14" spans="3:14" x14ac:dyDescent="0.35">
      <c r="C14" s="9" t="s">
        <v>5</v>
      </c>
      <c r="D14" s="10"/>
      <c r="E14" s="10"/>
      <c r="F14" s="11"/>
    </row>
    <row r="15" spans="3:14" x14ac:dyDescent="0.35">
      <c r="C15" s="12"/>
      <c r="D15" s="13"/>
      <c r="E15" s="13"/>
      <c r="F15" s="14"/>
      <c r="G15"/>
      <c r="H15"/>
      <c r="I15"/>
      <c r="J15"/>
      <c r="K15"/>
      <c r="L15"/>
      <c r="M15"/>
      <c r="N15"/>
    </row>
    <row r="16" spans="3:14" x14ac:dyDescent="0.35">
      <c r="C16" s="69" t="s">
        <v>22</v>
      </c>
      <c r="D16" s="70">
        <v>1000</v>
      </c>
      <c r="E16" s="13"/>
      <c r="F16" s="14"/>
      <c r="G16"/>
      <c r="H16"/>
      <c r="I16"/>
      <c r="J16"/>
      <c r="K16"/>
      <c r="L16"/>
      <c r="M16"/>
      <c r="N16"/>
    </row>
    <row r="17" spans="3:14" x14ac:dyDescent="0.35">
      <c r="C17" s="12"/>
      <c r="D17" s="13"/>
      <c r="E17" s="13"/>
      <c r="F17" s="14"/>
      <c r="G17"/>
      <c r="H17"/>
      <c r="I17"/>
      <c r="J17"/>
      <c r="K17"/>
      <c r="L17"/>
      <c r="M17"/>
      <c r="N17"/>
    </row>
    <row r="18" spans="3:14" x14ac:dyDescent="0.35">
      <c r="C18" s="15" t="s">
        <v>50</v>
      </c>
      <c r="D18" s="16">
        <v>1120</v>
      </c>
      <c r="E18" s="13"/>
      <c r="F18" s="14"/>
      <c r="G18"/>
      <c r="H18"/>
      <c r="I18"/>
      <c r="J18"/>
      <c r="K18"/>
      <c r="L18"/>
      <c r="M18"/>
      <c r="N18"/>
    </row>
    <row r="19" spans="3:14" x14ac:dyDescent="0.35">
      <c r="C19" s="12"/>
      <c r="D19" s="13"/>
      <c r="E19" s="13"/>
      <c r="F19" s="14"/>
      <c r="G19"/>
      <c r="H19"/>
      <c r="I19"/>
      <c r="J19"/>
      <c r="K19"/>
      <c r="L19"/>
      <c r="M19"/>
      <c r="N19"/>
    </row>
    <row r="20" spans="3:14" x14ac:dyDescent="0.35">
      <c r="C20" s="15" t="s">
        <v>80</v>
      </c>
      <c r="D20" s="16">
        <v>45</v>
      </c>
      <c r="F20" s="14"/>
      <c r="G20"/>
      <c r="H20"/>
      <c r="I20"/>
      <c r="J20"/>
      <c r="K20"/>
      <c r="L20"/>
      <c r="M20"/>
      <c r="N20"/>
    </row>
    <row r="21" spans="3:14" x14ac:dyDescent="0.35">
      <c r="C21" s="15"/>
      <c r="D21" s="18"/>
      <c r="E21" s="18"/>
      <c r="F21" s="19"/>
      <c r="G21"/>
      <c r="H21"/>
      <c r="I21"/>
      <c r="J21"/>
      <c r="K21"/>
      <c r="L21"/>
      <c r="M21"/>
      <c r="N21"/>
    </row>
    <row r="22" spans="3:14" x14ac:dyDescent="0.35">
      <c r="C22" s="69" t="s">
        <v>2</v>
      </c>
      <c r="D22" s="71">
        <v>10</v>
      </c>
      <c r="E22" s="13"/>
      <c r="F22" s="14"/>
      <c r="G22"/>
      <c r="H22"/>
      <c r="I22"/>
      <c r="J22"/>
      <c r="K22"/>
      <c r="L22"/>
      <c r="M22"/>
      <c r="N22"/>
    </row>
    <row r="23" spans="3:14" x14ac:dyDescent="0.35">
      <c r="C23" s="15"/>
      <c r="D23" s="18"/>
      <c r="E23" s="18"/>
      <c r="F23" s="19"/>
      <c r="G23"/>
      <c r="H23"/>
      <c r="I23"/>
      <c r="J23"/>
      <c r="K23"/>
      <c r="L23"/>
      <c r="M23"/>
      <c r="N23"/>
    </row>
    <row r="24" spans="3:14" x14ac:dyDescent="0.35">
      <c r="C24" s="15" t="s">
        <v>16</v>
      </c>
      <c r="D24" s="68">
        <v>2</v>
      </c>
      <c r="E24" s="18"/>
      <c r="F24" s="19"/>
      <c r="G24"/>
      <c r="H24"/>
      <c r="I24"/>
      <c r="J24"/>
      <c r="K24"/>
      <c r="L24"/>
      <c r="M24"/>
      <c r="N24"/>
    </row>
    <row r="25" spans="3:14" x14ac:dyDescent="0.35">
      <c r="C25" s="15"/>
      <c r="D25" s="18"/>
      <c r="E25" s="18"/>
      <c r="F25" s="19"/>
      <c r="G25"/>
      <c r="H25"/>
      <c r="I25"/>
      <c r="J25"/>
      <c r="K25"/>
      <c r="L25"/>
      <c r="M25"/>
      <c r="N25"/>
    </row>
    <row r="26" spans="3:14" x14ac:dyDescent="0.35">
      <c r="C26" s="15" t="s">
        <v>3</v>
      </c>
      <c r="D26" s="18" t="s">
        <v>4</v>
      </c>
      <c r="E26" s="18"/>
      <c r="F26" s="19"/>
      <c r="G26"/>
      <c r="H26"/>
      <c r="I26"/>
      <c r="J26"/>
      <c r="K26"/>
      <c r="L26"/>
      <c r="M26"/>
      <c r="N26"/>
    </row>
    <row r="27" spans="3:14" x14ac:dyDescent="0.35">
      <c r="C27" s="15" t="s">
        <v>81</v>
      </c>
      <c r="D27" s="18" t="s">
        <v>4</v>
      </c>
      <c r="E27" s="18"/>
      <c r="F27" s="19"/>
      <c r="G27"/>
      <c r="H27"/>
      <c r="I27"/>
      <c r="J27"/>
      <c r="K27"/>
      <c r="L27"/>
      <c r="M27"/>
      <c r="N27"/>
    </row>
    <row r="28" spans="3:14" x14ac:dyDescent="0.35">
      <c r="C28" s="20" t="s">
        <v>82</v>
      </c>
      <c r="D28" s="21" t="s">
        <v>4</v>
      </c>
      <c r="E28" s="21"/>
      <c r="F28" s="22"/>
      <c r="G28"/>
      <c r="H28"/>
      <c r="I28"/>
      <c r="J28"/>
      <c r="K28"/>
      <c r="L28"/>
      <c r="M28"/>
      <c r="N28"/>
    </row>
    <row r="29" spans="3:14" x14ac:dyDescent="0.35">
      <c r="D29"/>
      <c r="E29"/>
      <c r="F29"/>
      <c r="G29"/>
      <c r="H29"/>
      <c r="I29"/>
      <c r="J29"/>
      <c r="K29"/>
      <c r="L29"/>
      <c r="M29"/>
      <c r="N29"/>
    </row>
    <row r="30" spans="3:14" x14ac:dyDescent="0.35">
      <c r="D30"/>
      <c r="E30"/>
      <c r="F30"/>
      <c r="G30"/>
      <c r="H30"/>
      <c r="I30"/>
      <c r="J30"/>
      <c r="K30"/>
      <c r="L30"/>
      <c r="M30"/>
      <c r="N30"/>
    </row>
    <row r="31" spans="3:14" x14ac:dyDescent="0.35">
      <c r="I31"/>
      <c r="J31"/>
      <c r="K31"/>
      <c r="L31"/>
      <c r="M31"/>
      <c r="N31"/>
    </row>
    <row r="32" spans="3:14" x14ac:dyDescent="0.35">
      <c r="D32" s="8" t="s">
        <v>6</v>
      </c>
    </row>
    <row r="34" spans="3:24" x14ac:dyDescent="0.35">
      <c r="C34" s="8">
        <v>1</v>
      </c>
      <c r="G34" s="25"/>
    </row>
    <row r="36" spans="3:24" x14ac:dyDescent="0.35">
      <c r="D36" s="8" t="s">
        <v>7</v>
      </c>
    </row>
    <row r="38" spans="3:24" x14ac:dyDescent="0.35">
      <c r="C38" t="s">
        <v>14</v>
      </c>
      <c r="D38"/>
      <c r="E38"/>
      <c r="F38"/>
      <c r="G38"/>
      <c r="H38"/>
    </row>
    <row r="39" spans="3:24" x14ac:dyDescent="0.35">
      <c r="C39"/>
      <c r="D39" s="73">
        <v>0</v>
      </c>
      <c r="E39" s="73">
        <v>1</v>
      </c>
      <c r="F39" s="73">
        <v>2</v>
      </c>
      <c r="G39" s="73">
        <v>3</v>
      </c>
      <c r="H39" s="73">
        <v>4</v>
      </c>
      <c r="I39" s="73">
        <v>5</v>
      </c>
      <c r="J39" s="73">
        <v>6</v>
      </c>
      <c r="K39" s="73">
        <v>7</v>
      </c>
      <c r="L39" s="73">
        <v>8</v>
      </c>
      <c r="M39" s="73">
        <v>9</v>
      </c>
      <c r="N39" s="73">
        <v>10</v>
      </c>
      <c r="O39" s="73">
        <v>11</v>
      </c>
      <c r="P39" s="73">
        <v>12</v>
      </c>
      <c r="Q39" s="73">
        <v>13</v>
      </c>
      <c r="R39" s="73">
        <v>14</v>
      </c>
      <c r="S39" s="73">
        <v>15</v>
      </c>
      <c r="T39" s="73">
        <v>16</v>
      </c>
      <c r="U39" s="73">
        <v>17</v>
      </c>
      <c r="V39" s="73">
        <v>18</v>
      </c>
      <c r="W39" s="73">
        <v>19</v>
      </c>
      <c r="X39" s="73">
        <v>20</v>
      </c>
    </row>
    <row r="40" spans="3:24" x14ac:dyDescent="0.35">
      <c r="C40"/>
      <c r="D40" s="72">
        <f>-D18</f>
        <v>-1120</v>
      </c>
      <c r="E40" s="72">
        <f>$D$20</f>
        <v>45</v>
      </c>
      <c r="F40" s="72">
        <f t="shared" ref="F40:W40" si="0">$D$20</f>
        <v>45</v>
      </c>
      <c r="G40" s="72">
        <f t="shared" si="0"/>
        <v>45</v>
      </c>
      <c r="H40" s="72">
        <f t="shared" si="0"/>
        <v>45</v>
      </c>
      <c r="I40" s="72">
        <f t="shared" si="0"/>
        <v>45</v>
      </c>
      <c r="J40" s="72">
        <f t="shared" si="0"/>
        <v>45</v>
      </c>
      <c r="K40" s="72">
        <f t="shared" si="0"/>
        <v>45</v>
      </c>
      <c r="L40" s="72">
        <f t="shared" si="0"/>
        <v>45</v>
      </c>
      <c r="M40" s="72">
        <f t="shared" si="0"/>
        <v>45</v>
      </c>
      <c r="N40" s="72">
        <f t="shared" si="0"/>
        <v>45</v>
      </c>
      <c r="O40" s="72">
        <f t="shared" si="0"/>
        <v>45</v>
      </c>
      <c r="P40" s="72">
        <f t="shared" si="0"/>
        <v>45</v>
      </c>
      <c r="Q40" s="72">
        <f t="shared" si="0"/>
        <v>45</v>
      </c>
      <c r="R40" s="72">
        <f t="shared" si="0"/>
        <v>45</v>
      </c>
      <c r="S40" s="72">
        <f t="shared" si="0"/>
        <v>45</v>
      </c>
      <c r="T40" s="72">
        <f t="shared" si="0"/>
        <v>45</v>
      </c>
      <c r="U40" s="72">
        <f t="shared" si="0"/>
        <v>45</v>
      </c>
      <c r="V40" s="72">
        <f t="shared" si="0"/>
        <v>45</v>
      </c>
      <c r="W40" s="72">
        <f t="shared" si="0"/>
        <v>45</v>
      </c>
      <c r="X40" s="72">
        <f>$D$20+D16</f>
        <v>1045</v>
      </c>
    </row>
    <row r="41" spans="3:24" x14ac:dyDescent="0.35">
      <c r="C41"/>
      <c r="D41"/>
      <c r="E41"/>
      <c r="F41"/>
      <c r="G41"/>
      <c r="H41"/>
    </row>
    <row r="42" spans="3:24" x14ac:dyDescent="0.35"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3:24" x14ac:dyDescent="0.35">
      <c r="C43"/>
      <c r="D43" s="87" t="s">
        <v>8</v>
      </c>
      <c r="E43" s="87"/>
      <c r="F43"/>
      <c r="G43"/>
      <c r="H43"/>
      <c r="I43"/>
      <c r="J43"/>
      <c r="K43"/>
      <c r="L43"/>
      <c r="M43"/>
      <c r="N43"/>
      <c r="O43"/>
    </row>
    <row r="44" spans="3:24" x14ac:dyDescent="0.35">
      <c r="C44" s="67" t="str">
        <f>C26</f>
        <v>i=</v>
      </c>
      <c r="D44" s="113">
        <f>IRR(D40:X40)</f>
        <v>3.6445833912108982E-2</v>
      </c>
      <c r="E44" s="113"/>
      <c r="F44"/>
      <c r="G44"/>
      <c r="H44"/>
      <c r="I44"/>
      <c r="J44"/>
      <c r="K44"/>
      <c r="L44"/>
      <c r="M44"/>
      <c r="N44"/>
      <c r="O44"/>
    </row>
    <row r="45" spans="3:24" x14ac:dyDescent="0.35">
      <c r="C45" s="67" t="str">
        <f t="shared" ref="C45:C46" si="1">C27</f>
        <v xml:space="preserve"> წლიური i=</v>
      </c>
      <c r="D45" s="113">
        <f>D44*D24</f>
        <v>7.2891667824217965E-2</v>
      </c>
      <c r="E45" s="113"/>
      <c r="F45"/>
      <c r="G45"/>
      <c r="H45"/>
      <c r="I45"/>
      <c r="J45"/>
      <c r="K45"/>
      <c r="L45"/>
      <c r="M45"/>
      <c r="N45"/>
      <c r="O45"/>
    </row>
    <row r="46" spans="3:24" x14ac:dyDescent="0.35">
      <c r="C46" s="67" t="str">
        <f t="shared" si="1"/>
        <v xml:space="preserve"> ეფექტური i=</v>
      </c>
      <c r="D46" s="113">
        <f>(1+D44)^D24-1</f>
        <v>7.4219966633767065E-2</v>
      </c>
      <c r="E46" s="113"/>
    </row>
  </sheetData>
  <mergeCells count="4">
    <mergeCell ref="D44:E44"/>
    <mergeCell ref="D45:E45"/>
    <mergeCell ref="D46:E46"/>
    <mergeCell ref="D43:E43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7:O46"/>
  <sheetViews>
    <sheetView workbookViewId="0">
      <pane ySplit="11" topLeftCell="A44" activePane="bottomLeft" state="frozen"/>
      <selection pane="bottomLeft"/>
    </sheetView>
  </sheetViews>
  <sheetFormatPr baseColWidth="10" defaultColWidth="9.1796875" defaultRowHeight="14.5" x14ac:dyDescent="0.35"/>
  <cols>
    <col min="1" max="1" width="9.1796875" style="8"/>
    <col min="2" max="2" width="15.7265625" style="8" customWidth="1"/>
    <col min="3" max="3" width="11.54296875" style="8" bestFit="1" customWidth="1"/>
    <col min="4" max="4" width="11.1796875" style="8" customWidth="1"/>
    <col min="5" max="5" width="14.26953125" style="8" bestFit="1" customWidth="1"/>
    <col min="6" max="10" width="11.1796875" style="8" customWidth="1"/>
    <col min="11" max="11" width="13.54296875" style="8" customWidth="1"/>
    <col min="12" max="14" width="11.1796875" style="8" customWidth="1"/>
    <col min="15" max="16384" width="9.1796875" style="8"/>
  </cols>
  <sheetData>
    <row r="7" spans="2:14" x14ac:dyDescent="0.35">
      <c r="N7" s="27"/>
    </row>
    <row r="8" spans="2:14" x14ac:dyDescent="0.35">
      <c r="N8" s="27"/>
    </row>
    <row r="9" spans="2:14" x14ac:dyDescent="0.35">
      <c r="N9" s="27"/>
    </row>
    <row r="10" spans="2:14" x14ac:dyDescent="0.35">
      <c r="N10" s="27"/>
    </row>
    <row r="13" spans="2:14" x14ac:dyDescent="0.35">
      <c r="B13" s="9" t="s">
        <v>5</v>
      </c>
      <c r="C13" s="10"/>
      <c r="D13" s="10"/>
      <c r="E13" s="11"/>
      <c r="F13"/>
      <c r="G13"/>
      <c r="I13"/>
      <c r="J13"/>
    </row>
    <row r="14" spans="2:14" x14ac:dyDescent="0.35">
      <c r="B14" s="12"/>
      <c r="C14" s="13"/>
      <c r="D14" s="13"/>
      <c r="E14" s="14"/>
      <c r="F14"/>
      <c r="G14"/>
      <c r="I14"/>
      <c r="J14"/>
    </row>
    <row r="15" spans="2:14" x14ac:dyDescent="0.35">
      <c r="B15" s="76" t="s">
        <v>22</v>
      </c>
      <c r="C15" s="77">
        <v>1000</v>
      </c>
      <c r="D15" s="13"/>
      <c r="E15" s="14"/>
      <c r="F15"/>
      <c r="G15"/>
      <c r="I15"/>
      <c r="J15"/>
    </row>
    <row r="16" spans="2:14" x14ac:dyDescent="0.35">
      <c r="B16" s="78"/>
      <c r="C16" s="79"/>
      <c r="D16" s="13"/>
      <c r="E16" s="14"/>
      <c r="F16"/>
      <c r="G16"/>
      <c r="I16"/>
      <c r="J16"/>
    </row>
    <row r="17" spans="2:15" x14ac:dyDescent="0.35">
      <c r="B17" s="76" t="s">
        <v>83</v>
      </c>
      <c r="C17" s="18">
        <v>0.09</v>
      </c>
      <c r="D17" s="13"/>
      <c r="E17" s="14"/>
      <c r="F17"/>
      <c r="G17"/>
      <c r="I17"/>
      <c r="J17"/>
    </row>
    <row r="18" spans="2:15" x14ac:dyDescent="0.35">
      <c r="B18" s="76"/>
      <c r="C18" s="80"/>
      <c r="E18" s="14"/>
      <c r="F18"/>
      <c r="G18"/>
      <c r="I18"/>
      <c r="J18"/>
    </row>
    <row r="19" spans="2:15" x14ac:dyDescent="0.35">
      <c r="B19" s="76" t="s">
        <v>19</v>
      </c>
      <c r="C19" s="81">
        <v>5</v>
      </c>
      <c r="D19" s="13" t="s">
        <v>20</v>
      </c>
      <c r="E19" s="74">
        <v>15</v>
      </c>
      <c r="F19"/>
      <c r="G19"/>
      <c r="I19"/>
      <c r="J19"/>
    </row>
    <row r="20" spans="2:15" x14ac:dyDescent="0.35">
      <c r="B20" s="76"/>
      <c r="C20" s="81"/>
      <c r="D20" s="13"/>
      <c r="E20" s="74"/>
      <c r="F20"/>
      <c r="G20"/>
      <c r="I20"/>
      <c r="J20"/>
    </row>
    <row r="21" spans="2:15" x14ac:dyDescent="0.35">
      <c r="B21" s="15" t="s">
        <v>16</v>
      </c>
      <c r="C21" s="68">
        <v>2</v>
      </c>
      <c r="D21" s="18"/>
      <c r="E21" s="19"/>
      <c r="F21"/>
      <c r="G21"/>
      <c r="I21"/>
      <c r="J21"/>
    </row>
    <row r="22" spans="2:15" x14ac:dyDescent="0.35">
      <c r="B22" s="15"/>
      <c r="C22" s="68"/>
      <c r="D22" s="18"/>
      <c r="E22" s="19"/>
    </row>
    <row r="23" spans="2:15" x14ac:dyDescent="0.35">
      <c r="B23" s="76" t="s">
        <v>3</v>
      </c>
      <c r="C23" s="83">
        <v>0.09</v>
      </c>
      <c r="E23" s="19"/>
    </row>
    <row r="24" spans="2:15" x14ac:dyDescent="0.35">
      <c r="B24" s="15"/>
      <c r="C24" s="18">
        <v>0.08</v>
      </c>
      <c r="D24" s="75"/>
      <c r="E24" s="19"/>
    </row>
    <row r="25" spans="2:15" x14ac:dyDescent="0.35">
      <c r="B25" s="12"/>
      <c r="C25" s="13"/>
      <c r="D25" s="13"/>
      <c r="E25" s="19"/>
    </row>
    <row r="26" spans="2:15" x14ac:dyDescent="0.35">
      <c r="B26" s="20" t="s">
        <v>70</v>
      </c>
      <c r="C26" s="65" t="s">
        <v>4</v>
      </c>
      <c r="D26" s="84" t="s">
        <v>69</v>
      </c>
      <c r="E26" s="22" t="s">
        <v>4</v>
      </c>
    </row>
    <row r="29" spans="2:15" x14ac:dyDescent="0.35">
      <c r="C29"/>
      <c r="D29"/>
      <c r="E29"/>
      <c r="F29"/>
      <c r="G29"/>
      <c r="H29"/>
      <c r="I29"/>
    </row>
    <row r="30" spans="2:15" x14ac:dyDescent="0.35">
      <c r="D30" s="8" t="s">
        <v>6</v>
      </c>
    </row>
    <row r="31" spans="2:15" x14ac:dyDescent="0.35">
      <c r="K31"/>
      <c r="L31"/>
      <c r="M31"/>
      <c r="N31"/>
      <c r="O31"/>
    </row>
    <row r="32" spans="2:15" x14ac:dyDescent="0.35">
      <c r="B32" s="8">
        <v>1</v>
      </c>
      <c r="G32" s="25"/>
      <c r="H32" s="8">
        <v>2</v>
      </c>
      <c r="K32"/>
      <c r="L32"/>
      <c r="M32"/>
      <c r="N32"/>
      <c r="O32"/>
    </row>
    <row r="34" spans="2:12" x14ac:dyDescent="0.35">
      <c r="D34" s="8" t="s">
        <v>7</v>
      </c>
    </row>
    <row r="36" spans="2:12" ht="47.25" customHeight="1" x14ac:dyDescent="0.35">
      <c r="B36" s="82" t="s">
        <v>0</v>
      </c>
      <c r="C36" s="114" t="s">
        <v>84</v>
      </c>
      <c r="D36" s="114"/>
      <c r="E36" s="114"/>
      <c r="F36" s="114"/>
      <c r="G36" s="114"/>
      <c r="H36" s="114"/>
      <c r="I36" s="114"/>
    </row>
    <row r="38" spans="2:12" x14ac:dyDescent="0.35">
      <c r="B38" s="8" t="s">
        <v>12</v>
      </c>
      <c r="E38" s="86" t="s">
        <v>66</v>
      </c>
      <c r="F38" s="86"/>
      <c r="G38" s="86"/>
      <c r="H38" s="86"/>
      <c r="I38" s="86" t="s">
        <v>67</v>
      </c>
      <c r="J38" s="86"/>
      <c r="K38" s="86"/>
      <c r="L38" s="86"/>
    </row>
    <row r="39" spans="2:12" x14ac:dyDescent="0.35">
      <c r="C39" s="86"/>
      <c r="D39" s="86"/>
      <c r="E39" s="87" t="s">
        <v>8</v>
      </c>
      <c r="F39" s="87"/>
      <c r="G39" s="88" t="s">
        <v>9</v>
      </c>
      <c r="H39" s="88"/>
      <c r="I39" s="87" t="s">
        <v>8</v>
      </c>
      <c r="J39" s="87"/>
      <c r="K39" s="88" t="s">
        <v>9</v>
      </c>
      <c r="L39" s="88"/>
    </row>
    <row r="40" spans="2:12" x14ac:dyDescent="0.35">
      <c r="C40" s="89" t="s">
        <v>34</v>
      </c>
      <c r="D40" s="89"/>
      <c r="E40" s="90">
        <f>C15*C17</f>
        <v>90</v>
      </c>
      <c r="F40" s="90"/>
      <c r="G40" s="91">
        <f>PV(C24/C21,C19*C21,E40/C21,C15)</f>
        <v>-1040.5544788967752</v>
      </c>
      <c r="H40" s="92"/>
      <c r="I40" s="90">
        <f>E40</f>
        <v>90</v>
      </c>
      <c r="J40" s="90"/>
      <c r="K40" s="91">
        <f>PV(C24/C21,E19*C21,E40/C21,C15)</f>
        <v>-1086.4601665033224</v>
      </c>
      <c r="L40" s="92"/>
    </row>
    <row r="41" spans="2:12" x14ac:dyDescent="0.35">
      <c r="C41" s="89" t="s">
        <v>29</v>
      </c>
      <c r="D41" s="89"/>
      <c r="E41" s="90">
        <f>(E40/C21)*((1-(1+C24/C21)^(-C21*C19))/(C24/C21))</f>
        <v>364.99031007097665</v>
      </c>
      <c r="F41" s="90"/>
      <c r="G41" s="93"/>
      <c r="H41" s="94"/>
      <c r="I41" s="90">
        <f>(E40/C21)*((1-(1+C24/C21)^(-C21*E19))/(C24/C21))</f>
        <v>778.14149852990215</v>
      </c>
      <c r="J41" s="90"/>
      <c r="K41" s="93"/>
      <c r="L41" s="94"/>
    </row>
    <row r="42" spans="2:12" x14ac:dyDescent="0.35">
      <c r="C42" s="89" t="s">
        <v>30</v>
      </c>
      <c r="D42" s="89"/>
      <c r="E42" s="90">
        <f>C15/(1+C24/C21)^(C19*C21)</f>
        <v>675.56416882579856</v>
      </c>
      <c r="F42" s="90"/>
      <c r="G42" s="93"/>
      <c r="H42" s="94"/>
      <c r="I42" s="90">
        <f>C15/(1+C24/C21)^(E19*C21)</f>
        <v>308.3186679734203</v>
      </c>
      <c r="J42" s="90"/>
      <c r="K42" s="93"/>
      <c r="L42" s="94"/>
    </row>
    <row r="43" spans="2:12" x14ac:dyDescent="0.35">
      <c r="C43" s="97" t="s">
        <v>31</v>
      </c>
      <c r="D43" s="97"/>
      <c r="E43" s="98">
        <f>E41+E42</f>
        <v>1040.5544788967752</v>
      </c>
      <c r="F43" s="98"/>
      <c r="G43" s="95"/>
      <c r="H43" s="96"/>
      <c r="I43" s="98">
        <f>I41+I42</f>
        <v>1086.4601665033224</v>
      </c>
      <c r="J43" s="98"/>
      <c r="K43" s="95"/>
      <c r="L43" s="96"/>
    </row>
    <row r="45" spans="2:12" ht="15" thickBot="1" x14ac:dyDescent="0.4"/>
    <row r="46" spans="2:12" ht="15" thickBot="1" x14ac:dyDescent="0.4">
      <c r="D46" s="31" t="s">
        <v>85</v>
      </c>
      <c r="E46" s="85">
        <f>E43-C15</f>
        <v>40.554478896775208</v>
      </c>
      <c r="H46" s="31" t="s">
        <v>86</v>
      </c>
      <c r="I46" s="85">
        <f>I43-C15</f>
        <v>86.460166503322398</v>
      </c>
    </row>
  </sheetData>
  <mergeCells count="22">
    <mergeCell ref="C36:I36"/>
    <mergeCell ref="E38:H38"/>
    <mergeCell ref="C39:D39"/>
    <mergeCell ref="E39:F39"/>
    <mergeCell ref="G39:H39"/>
    <mergeCell ref="C40:D40"/>
    <mergeCell ref="E40:F40"/>
    <mergeCell ref="G40:H43"/>
    <mergeCell ref="C41:D41"/>
    <mergeCell ref="E41:F41"/>
    <mergeCell ref="C42:D42"/>
    <mergeCell ref="E42:F42"/>
    <mergeCell ref="C43:D43"/>
    <mergeCell ref="E43:F43"/>
    <mergeCell ref="I38:L38"/>
    <mergeCell ref="I39:J39"/>
    <mergeCell ref="K39:L39"/>
    <mergeCell ref="I40:J40"/>
    <mergeCell ref="K40:L43"/>
    <mergeCell ref="I41:J41"/>
    <mergeCell ref="I42:J42"/>
    <mergeCell ref="I43:J43"/>
  </mergeCells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7:X165"/>
  <sheetViews>
    <sheetView tabSelected="1" workbookViewId="0">
      <pane ySplit="11" topLeftCell="A12" activePane="bottomLeft" state="frozen"/>
      <selection pane="bottomLeft"/>
    </sheetView>
  </sheetViews>
  <sheetFormatPr baseColWidth="10" defaultColWidth="9.1796875" defaultRowHeight="14.5" x14ac:dyDescent="0.35"/>
  <cols>
    <col min="1" max="1" width="9.1796875" style="8"/>
    <col min="2" max="2" width="13.1796875" style="8" customWidth="1"/>
    <col min="3" max="3" width="11.54296875" style="8" bestFit="1" customWidth="1"/>
    <col min="4" max="4" width="11.1796875" style="8" customWidth="1"/>
    <col min="5" max="5" width="15.7265625" style="8" bestFit="1" customWidth="1"/>
    <col min="6" max="6" width="13.81640625" style="8" customWidth="1"/>
    <col min="7" max="7" width="11.1796875" style="8" customWidth="1"/>
    <col min="8" max="8" width="14.81640625" style="8" customWidth="1"/>
    <col min="9" max="10" width="11.1796875" style="8" customWidth="1"/>
    <col min="11" max="11" width="11.54296875" style="8" bestFit="1" customWidth="1"/>
    <col min="12" max="12" width="8.7265625" style="8" customWidth="1"/>
    <col min="13" max="13" width="11.7265625" style="8" customWidth="1"/>
    <col min="14" max="17" width="16" style="8" customWidth="1"/>
    <col min="18" max="16384" width="9.1796875" style="8"/>
  </cols>
  <sheetData>
    <row r="7" spans="2:17" x14ac:dyDescent="0.35">
      <c r="N7" s="27"/>
    </row>
    <row r="8" spans="2:17" x14ac:dyDescent="0.35">
      <c r="N8" s="27"/>
    </row>
    <row r="9" spans="2:17" x14ac:dyDescent="0.35">
      <c r="N9" s="27"/>
    </row>
    <row r="10" spans="2:17" x14ac:dyDescent="0.35">
      <c r="N10" s="27"/>
    </row>
    <row r="13" spans="2:17" x14ac:dyDescent="0.35">
      <c r="B13" s="9"/>
      <c r="C13" s="10" t="s">
        <v>5</v>
      </c>
      <c r="D13" s="10"/>
      <c r="E13" s="10"/>
      <c r="F13" s="11"/>
      <c r="G13"/>
      <c r="H13"/>
      <c r="I13"/>
      <c r="J13"/>
      <c r="K13"/>
      <c r="L13"/>
      <c r="M13"/>
      <c r="N13"/>
      <c r="O13"/>
      <c r="P13"/>
      <c r="Q13"/>
    </row>
    <row r="14" spans="2:17" x14ac:dyDescent="0.35">
      <c r="B14" s="12"/>
      <c r="C14" s="13"/>
      <c r="D14" s="13"/>
      <c r="E14" s="13"/>
      <c r="F14" s="14"/>
      <c r="G14"/>
      <c r="H14"/>
      <c r="I14"/>
      <c r="J14"/>
      <c r="K14"/>
      <c r="L14"/>
      <c r="M14"/>
      <c r="N14"/>
      <c r="O14"/>
      <c r="P14"/>
      <c r="Q14"/>
    </row>
    <row r="15" spans="2:17" x14ac:dyDescent="0.35">
      <c r="B15" s="12"/>
      <c r="C15" s="45" t="s">
        <v>44</v>
      </c>
      <c r="D15" s="16">
        <v>2</v>
      </c>
      <c r="E15" s="13"/>
      <c r="F15" s="14"/>
      <c r="G15"/>
      <c r="H15"/>
      <c r="I15"/>
      <c r="J15"/>
      <c r="K15"/>
      <c r="L15"/>
      <c r="M15"/>
      <c r="N15"/>
      <c r="O15"/>
      <c r="P15"/>
      <c r="Q15"/>
    </row>
    <row r="16" spans="2:17" x14ac:dyDescent="0.35">
      <c r="B16" s="12"/>
      <c r="C16" s="13"/>
      <c r="D16" s="13"/>
      <c r="E16" s="13"/>
      <c r="F16" s="14"/>
      <c r="G16"/>
      <c r="H16"/>
      <c r="I16"/>
      <c r="J16"/>
      <c r="K16"/>
      <c r="L16"/>
      <c r="M16"/>
      <c r="N16"/>
      <c r="O16"/>
      <c r="P16"/>
      <c r="Q16"/>
    </row>
    <row r="17" spans="2:24" ht="21" x14ac:dyDescent="0.35">
      <c r="B17" s="12"/>
      <c r="C17" s="45" t="s">
        <v>2</v>
      </c>
      <c r="D17" s="29" t="s">
        <v>17</v>
      </c>
      <c r="E17" s="13"/>
      <c r="F17" s="14"/>
      <c r="G17"/>
      <c r="H17"/>
      <c r="I17"/>
      <c r="J17"/>
      <c r="K17"/>
      <c r="L17"/>
      <c r="M17"/>
      <c r="N17"/>
      <c r="O17"/>
      <c r="P17"/>
      <c r="Q17"/>
    </row>
    <row r="18" spans="2:24" x14ac:dyDescent="0.35">
      <c r="B18" s="12"/>
      <c r="C18" s="13"/>
      <c r="D18" s="13"/>
      <c r="E18" s="13"/>
      <c r="F18" s="14"/>
      <c r="G18"/>
      <c r="H18"/>
      <c r="I18"/>
      <c r="J18"/>
      <c r="K18"/>
      <c r="L18"/>
      <c r="M18"/>
      <c r="N18"/>
      <c r="O18"/>
      <c r="P18"/>
      <c r="Q18"/>
      <c r="U18"/>
      <c r="V18"/>
      <c r="W18"/>
      <c r="X18"/>
    </row>
    <row r="19" spans="2:24" x14ac:dyDescent="0.35">
      <c r="B19" s="12"/>
      <c r="C19" s="45" t="s">
        <v>76</v>
      </c>
      <c r="D19" s="42">
        <v>0.1</v>
      </c>
      <c r="E19" s="45"/>
      <c r="F19" s="62"/>
      <c r="G19"/>
      <c r="H19"/>
      <c r="I19"/>
      <c r="J19"/>
      <c r="K19"/>
      <c r="L19"/>
      <c r="M19"/>
      <c r="N19"/>
      <c r="O19"/>
      <c r="P19"/>
      <c r="Q19"/>
      <c r="U19"/>
      <c r="V19"/>
      <c r="W19"/>
      <c r="X19"/>
    </row>
    <row r="20" spans="2:24" x14ac:dyDescent="0.35">
      <c r="B20" s="12"/>
      <c r="D20" s="42">
        <v>0.09</v>
      </c>
      <c r="E20" s="45"/>
      <c r="F20" s="62"/>
      <c r="G20"/>
      <c r="H20"/>
      <c r="I20"/>
      <c r="J20"/>
      <c r="K20"/>
      <c r="L20"/>
      <c r="M20"/>
      <c r="N20"/>
      <c r="O20"/>
      <c r="P20"/>
      <c r="Q20"/>
      <c r="U20"/>
      <c r="V20"/>
      <c r="W20"/>
      <c r="X20"/>
    </row>
    <row r="21" spans="2:24" x14ac:dyDescent="0.35">
      <c r="B21" s="12"/>
      <c r="D21" s="42">
        <v>0.11</v>
      </c>
      <c r="F21" s="14"/>
      <c r="G21"/>
      <c r="H21"/>
      <c r="I21"/>
      <c r="J21"/>
      <c r="K21"/>
      <c r="L21"/>
      <c r="M21"/>
      <c r="N21"/>
      <c r="O21"/>
      <c r="P21"/>
      <c r="Q21"/>
    </row>
    <row r="22" spans="2:24" x14ac:dyDescent="0.35">
      <c r="B22" s="12"/>
      <c r="C22" s="13"/>
      <c r="D22" s="13"/>
      <c r="E22" s="13"/>
      <c r="F22" s="14"/>
      <c r="G22"/>
      <c r="H22"/>
      <c r="I22"/>
      <c r="J22"/>
      <c r="K22"/>
      <c r="L22"/>
      <c r="M22"/>
      <c r="N22"/>
      <c r="O22"/>
      <c r="P22"/>
      <c r="Q22"/>
    </row>
    <row r="23" spans="2:24" x14ac:dyDescent="0.35">
      <c r="B23" s="12"/>
      <c r="C23" s="45" t="s">
        <v>48</v>
      </c>
      <c r="D23" s="18">
        <v>0.16</v>
      </c>
      <c r="E23" s="13" t="s">
        <v>49</v>
      </c>
      <c r="F23" s="14"/>
      <c r="I23"/>
      <c r="J23"/>
      <c r="K23"/>
      <c r="L23"/>
      <c r="M23"/>
      <c r="N23"/>
    </row>
    <row r="24" spans="2:24" x14ac:dyDescent="0.35">
      <c r="B24" s="12"/>
      <c r="C24" s="45"/>
      <c r="D24" s="18"/>
      <c r="E24" s="13"/>
      <c r="F24" s="14"/>
    </row>
    <row r="25" spans="2:24" x14ac:dyDescent="0.35">
      <c r="B25" s="63"/>
      <c r="C25" s="64" t="s">
        <v>50</v>
      </c>
      <c r="D25" s="65" t="s">
        <v>4</v>
      </c>
      <c r="E25" s="21"/>
      <c r="F25" s="22"/>
    </row>
    <row r="26" spans="2:24" x14ac:dyDescent="0.35">
      <c r="G26" s="25"/>
    </row>
    <row r="28" spans="2:24" x14ac:dyDescent="0.35">
      <c r="D28" s="8" t="s">
        <v>6</v>
      </c>
    </row>
    <row r="30" spans="2:24" s="28" customFormat="1" x14ac:dyDescent="0.35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2:24" x14ac:dyDescent="0.35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2:24" x14ac:dyDescent="0.35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2:23" x14ac:dyDescent="0.35">
      <c r="C33"/>
      <c r="D33" s="8" t="s">
        <v>7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2:23" x14ac:dyDescent="0.35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2:23" x14ac:dyDescent="0.35">
      <c r="E35" s="104" t="s">
        <v>88</v>
      </c>
      <c r="F35" s="10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2:23" x14ac:dyDescent="0.35">
      <c r="C36" s="86" t="s">
        <v>87</v>
      </c>
      <c r="D36" s="86"/>
      <c r="E36" s="87" t="s">
        <v>8</v>
      </c>
      <c r="F36" s="87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2:23" x14ac:dyDescent="0.35">
      <c r="B37" s="31" t="s">
        <v>0</v>
      </c>
      <c r="C37" s="89">
        <f>D19</f>
        <v>0.1</v>
      </c>
      <c r="D37" s="89"/>
      <c r="E37" s="90">
        <f>$D$15*(1+D19)/($D$23-D19)</f>
        <v>36.666666666666671</v>
      </c>
      <c r="F37" s="90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2:23" x14ac:dyDescent="0.35">
      <c r="B38" s="31" t="s">
        <v>12</v>
      </c>
      <c r="C38" s="89">
        <f t="shared" ref="C38:C39" si="0">D20</f>
        <v>0.09</v>
      </c>
      <c r="D38" s="89"/>
      <c r="E38" s="90">
        <f t="shared" ref="E38:E39" si="1">$D$15*(1+D20)/($D$23-D20)</f>
        <v>31.142857142857142</v>
      </c>
      <c r="F38" s="90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2:23" x14ac:dyDescent="0.35">
      <c r="B39" s="31" t="s">
        <v>15</v>
      </c>
      <c r="C39" s="89">
        <f t="shared" si="0"/>
        <v>0.11</v>
      </c>
      <c r="D39" s="89"/>
      <c r="E39" s="90">
        <f t="shared" si="1"/>
        <v>44.4</v>
      </c>
      <c r="F39" s="90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2:23" x14ac:dyDescent="0.35"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2:23" x14ac:dyDescent="0.35"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2:23" x14ac:dyDescent="0.35"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2:23" x14ac:dyDescent="0.35"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2:23" x14ac:dyDescent="0.35"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2:23" x14ac:dyDescent="0.35"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2:23" x14ac:dyDescent="0.35"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2:23" x14ac:dyDescent="0.35"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2:23" x14ac:dyDescent="0.35"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3:23" x14ac:dyDescent="0.35"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3:23" x14ac:dyDescent="0.35"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3:23" x14ac:dyDescent="0.35"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3:23" x14ac:dyDescent="0.35"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3:23" x14ac:dyDescent="0.35"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3:23" x14ac:dyDescent="0.35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3:23" x14ac:dyDescent="0.35"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3:23" x14ac:dyDescent="0.35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3:23" x14ac:dyDescent="0.35"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3:23" x14ac:dyDescent="0.35"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3:23" x14ac:dyDescent="0.35"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3:23" x14ac:dyDescent="0.35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3:23" x14ac:dyDescent="0.35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3:23" x14ac:dyDescent="0.35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3:23" x14ac:dyDescent="0.35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3:23" x14ac:dyDescent="0.35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3:23" x14ac:dyDescent="0.35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3:23" x14ac:dyDescent="0.35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3:23" x14ac:dyDescent="0.35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3:23" x14ac:dyDescent="0.35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3:23" x14ac:dyDescent="0.35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3:23" x14ac:dyDescent="0.35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3:23" x14ac:dyDescent="0.35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3:23" x14ac:dyDescent="0.35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3:23" x14ac:dyDescent="0.35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3:23" x14ac:dyDescent="0.35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3:23" x14ac:dyDescent="0.35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3:23" x14ac:dyDescent="0.35"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3:23" x14ac:dyDescent="0.35"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3:23" x14ac:dyDescent="0.35"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3:23" x14ac:dyDescent="0.35"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3:23" x14ac:dyDescent="0.3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3:23" x14ac:dyDescent="0.3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3:23" x14ac:dyDescent="0.3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3:23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3:23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3:23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3:23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3:23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3:23" x14ac:dyDescent="0.3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3:23" x14ac:dyDescent="0.3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3:23" x14ac:dyDescent="0.3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3:23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3:23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3:23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3:23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3:23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3:23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3:23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3:23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3:23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3:23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3:23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</row>
    <row r="102" spans="3:23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</row>
    <row r="103" spans="3:23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</row>
    <row r="104" spans="3:23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</row>
    <row r="105" spans="3:23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</row>
    <row r="106" spans="3:23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</row>
    <row r="107" spans="3:23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</row>
    <row r="108" spans="3:23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</row>
    <row r="109" spans="3:23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</row>
    <row r="110" spans="3:23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</row>
    <row r="111" spans="3:23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</row>
    <row r="112" spans="3:23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</row>
    <row r="113" spans="3:23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</row>
    <row r="114" spans="3:23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</row>
    <row r="115" spans="3:23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</row>
    <row r="116" spans="3:23" x14ac:dyDescent="0.35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</row>
    <row r="117" spans="3:23" x14ac:dyDescent="0.35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</row>
    <row r="118" spans="3:23" x14ac:dyDescent="0.35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3:23" x14ac:dyDescent="0.35"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3:23" x14ac:dyDescent="0.35"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3:23" x14ac:dyDescent="0.35"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3:23" x14ac:dyDescent="0.35"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3:23" x14ac:dyDescent="0.35"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</row>
    <row r="124" spans="3:23" x14ac:dyDescent="0.35"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</row>
    <row r="125" spans="3:23" x14ac:dyDescent="0.35"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</row>
    <row r="126" spans="3:23" x14ac:dyDescent="0.35"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</row>
    <row r="127" spans="3:23" x14ac:dyDescent="0.35"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</row>
    <row r="128" spans="3:23" x14ac:dyDescent="0.35"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</row>
    <row r="129" spans="3:23" x14ac:dyDescent="0.35"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</row>
    <row r="130" spans="3:23" x14ac:dyDescent="0.35"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</row>
    <row r="131" spans="3:23" x14ac:dyDescent="0.35"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</row>
    <row r="132" spans="3:23" x14ac:dyDescent="0.35"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</row>
    <row r="133" spans="3:23" x14ac:dyDescent="0.35"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</row>
    <row r="134" spans="3:23" x14ac:dyDescent="0.35"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</row>
    <row r="135" spans="3:23" x14ac:dyDescent="0.35"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</row>
    <row r="136" spans="3:23" x14ac:dyDescent="0.35"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</row>
    <row r="137" spans="3:23" x14ac:dyDescent="0.35"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</row>
    <row r="138" spans="3:23" x14ac:dyDescent="0.35"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</row>
    <row r="139" spans="3:23" x14ac:dyDescent="0.35"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</row>
    <row r="140" spans="3:23" x14ac:dyDescent="0.35"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</row>
    <row r="141" spans="3:23" x14ac:dyDescent="0.35"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</row>
    <row r="142" spans="3:23" x14ac:dyDescent="0.35"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</row>
    <row r="143" spans="3:23" x14ac:dyDescent="0.35"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</row>
    <row r="144" spans="3:23" x14ac:dyDescent="0.35"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</row>
    <row r="145" spans="3:23" x14ac:dyDescent="0.35"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</row>
    <row r="146" spans="3:23" x14ac:dyDescent="0.35"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</row>
    <row r="147" spans="3:23" x14ac:dyDescent="0.35"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</row>
    <row r="148" spans="3:23" x14ac:dyDescent="0.35"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</row>
    <row r="149" spans="3:23" x14ac:dyDescent="0.35"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</row>
    <row r="150" spans="3:23" x14ac:dyDescent="0.35"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</row>
    <row r="151" spans="3:23" x14ac:dyDescent="0.35"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</row>
    <row r="152" spans="3:23" x14ac:dyDescent="0.35"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</row>
    <row r="153" spans="3:23" x14ac:dyDescent="0.35"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</row>
    <row r="154" spans="3:23" x14ac:dyDescent="0.35"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</row>
    <row r="155" spans="3:23" x14ac:dyDescent="0.35"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</row>
    <row r="156" spans="3:23" x14ac:dyDescent="0.35"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</row>
    <row r="157" spans="3:23" x14ac:dyDescent="0.35"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</row>
    <row r="158" spans="3:23" x14ac:dyDescent="0.35"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</row>
    <row r="159" spans="3:23" x14ac:dyDescent="0.35"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</row>
    <row r="160" spans="3:23" x14ac:dyDescent="0.35"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</row>
    <row r="161" spans="3:23" x14ac:dyDescent="0.35"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</row>
    <row r="162" spans="3:23" x14ac:dyDescent="0.35"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</row>
    <row r="163" spans="3:23" x14ac:dyDescent="0.35"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</row>
    <row r="164" spans="3:23" x14ac:dyDescent="0.35"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</row>
    <row r="165" spans="3:23" x14ac:dyDescent="0.35"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</row>
  </sheetData>
  <mergeCells count="9">
    <mergeCell ref="E35:F35"/>
    <mergeCell ref="E39:F39"/>
    <mergeCell ref="C36:D36"/>
    <mergeCell ref="E36:F36"/>
    <mergeCell ref="C37:D37"/>
    <mergeCell ref="E37:F37"/>
    <mergeCell ref="C38:D38"/>
    <mergeCell ref="E38:F38"/>
    <mergeCell ref="C39:D39"/>
  </mergeCells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O3:P19"/>
  <sheetViews>
    <sheetView workbookViewId="0">
      <selection activeCell="C12" sqref="C12"/>
    </sheetView>
  </sheetViews>
  <sheetFormatPr baseColWidth="10" defaultColWidth="8.7265625" defaultRowHeight="14.5" x14ac:dyDescent="0.35"/>
  <cols>
    <col min="15" max="15" width="12.54296875" bestFit="1" customWidth="1"/>
    <col min="16" max="16" width="9.54296875" bestFit="1" customWidth="1"/>
  </cols>
  <sheetData>
    <row r="3" spans="15:16" x14ac:dyDescent="0.35">
      <c r="P3" s="1"/>
    </row>
    <row r="5" spans="15:16" x14ac:dyDescent="0.35">
      <c r="O5" s="4"/>
    </row>
    <row r="7" spans="15:16" x14ac:dyDescent="0.35">
      <c r="O7" s="6"/>
      <c r="P7" s="5"/>
    </row>
    <row r="9" spans="15:16" x14ac:dyDescent="0.35">
      <c r="O9" s="3"/>
    </row>
    <row r="11" spans="15:16" x14ac:dyDescent="0.35">
      <c r="O11" s="3"/>
    </row>
    <row r="13" spans="15:16" x14ac:dyDescent="0.35">
      <c r="O13" s="3"/>
    </row>
    <row r="15" spans="15:16" x14ac:dyDescent="0.35">
      <c r="O15" s="7"/>
    </row>
    <row r="17" spans="15:15" x14ac:dyDescent="0.35">
      <c r="O17" s="3"/>
    </row>
    <row r="19" spans="15:15" x14ac:dyDescent="0.35">
      <c r="O19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2:V46"/>
  <sheetViews>
    <sheetView workbookViewId="0">
      <pane ySplit="10" topLeftCell="A41" activePane="bottomLeft" state="frozen"/>
      <selection pane="bottomLeft" activeCell="E14" sqref="E14"/>
    </sheetView>
  </sheetViews>
  <sheetFormatPr baseColWidth="10" defaultColWidth="9.1796875" defaultRowHeight="14.5" x14ac:dyDescent="0.35"/>
  <cols>
    <col min="1" max="3" width="9.1796875" style="8"/>
    <col min="4" max="4" width="20.54296875" style="8" customWidth="1"/>
    <col min="5" max="5" width="10.54296875" style="8" bestFit="1" customWidth="1"/>
    <col min="6" max="6" width="9.1796875" style="8"/>
    <col min="7" max="7" width="12" style="8" customWidth="1"/>
    <col min="8" max="8" width="9.54296875" style="8" bestFit="1" customWidth="1"/>
    <col min="9" max="9" width="9.1796875" style="8"/>
    <col min="10" max="10" width="9.54296875" style="8" bestFit="1" customWidth="1"/>
    <col min="11" max="16384" width="9.1796875" style="8"/>
  </cols>
  <sheetData>
    <row r="12" spans="4:7" x14ac:dyDescent="0.35">
      <c r="D12" s="9" t="s">
        <v>5</v>
      </c>
      <c r="E12" s="10" t="s">
        <v>23</v>
      </c>
      <c r="F12" s="10"/>
      <c r="G12" s="11"/>
    </row>
    <row r="13" spans="4:7" x14ac:dyDescent="0.35">
      <c r="D13" s="12"/>
      <c r="E13" s="13"/>
      <c r="F13" s="13"/>
      <c r="G13" s="14"/>
    </row>
    <row r="14" spans="4:7" x14ac:dyDescent="0.35">
      <c r="D14" s="15" t="s">
        <v>22</v>
      </c>
      <c r="E14" s="16">
        <v>1000</v>
      </c>
      <c r="F14" s="13" t="s">
        <v>21</v>
      </c>
      <c r="G14" s="14"/>
    </row>
    <row r="15" spans="4:7" x14ac:dyDescent="0.35">
      <c r="D15" s="12"/>
      <c r="E15" s="13"/>
      <c r="F15" s="13"/>
      <c r="G15" s="14"/>
    </row>
    <row r="16" spans="4:7" x14ac:dyDescent="0.35">
      <c r="D16" s="12" t="s">
        <v>24</v>
      </c>
      <c r="E16" s="18">
        <v>0.1</v>
      </c>
      <c r="F16" s="13" t="s">
        <v>25</v>
      </c>
      <c r="G16" s="14"/>
    </row>
    <row r="17" spans="3:22" x14ac:dyDescent="0.35">
      <c r="D17" s="12"/>
      <c r="E17" s="13"/>
      <c r="F17" s="13"/>
      <c r="G17" s="14"/>
    </row>
    <row r="18" spans="3:22" x14ac:dyDescent="0.35">
      <c r="D18" s="15" t="s">
        <v>2</v>
      </c>
      <c r="E18" s="17">
        <v>3</v>
      </c>
      <c r="F18" s="13"/>
      <c r="G18" s="14"/>
    </row>
    <row r="19" spans="3:22" x14ac:dyDescent="0.35">
      <c r="D19" s="12"/>
      <c r="E19" s="13"/>
      <c r="F19" s="13"/>
      <c r="G19" s="14"/>
    </row>
    <row r="20" spans="3:22" x14ac:dyDescent="0.35">
      <c r="D20" s="15" t="s">
        <v>3</v>
      </c>
      <c r="E20" s="18">
        <v>0.14000000000000001</v>
      </c>
      <c r="G20" s="14"/>
    </row>
    <row r="21" spans="3:22" x14ac:dyDescent="0.35">
      <c r="D21" s="12"/>
      <c r="E21" s="13"/>
      <c r="F21" s="13"/>
      <c r="G21" s="14"/>
    </row>
    <row r="22" spans="3:22" x14ac:dyDescent="0.35">
      <c r="D22" s="20" t="s">
        <v>1</v>
      </c>
      <c r="E22" s="21" t="s">
        <v>4</v>
      </c>
      <c r="F22" s="21"/>
      <c r="G22" s="22"/>
    </row>
    <row r="24" spans="3:22" x14ac:dyDescent="0.35">
      <c r="D24" s="8" t="s">
        <v>6</v>
      </c>
    </row>
    <row r="26" spans="3:22" x14ac:dyDescent="0.35">
      <c r="C26" s="8">
        <v>1</v>
      </c>
    </row>
    <row r="28" spans="3:22" x14ac:dyDescent="0.35">
      <c r="C28" s="8">
        <v>2</v>
      </c>
      <c r="P28"/>
      <c r="Q28"/>
      <c r="R28"/>
      <c r="S28"/>
      <c r="T28"/>
      <c r="U28"/>
      <c r="V28"/>
    </row>
    <row r="29" spans="3:22" x14ac:dyDescent="0.35">
      <c r="P29"/>
      <c r="Q29"/>
      <c r="R29"/>
      <c r="S29"/>
      <c r="T29"/>
      <c r="U29"/>
      <c r="V29"/>
    </row>
    <row r="30" spans="3:22" x14ac:dyDescent="0.35">
      <c r="C30" s="8">
        <v>3</v>
      </c>
    </row>
    <row r="33" spans="4:10" x14ac:dyDescent="0.35">
      <c r="D33" s="8" t="s">
        <v>7</v>
      </c>
    </row>
    <row r="35" spans="4:10" x14ac:dyDescent="0.35">
      <c r="D35" s="8" t="s">
        <v>14</v>
      </c>
    </row>
    <row r="36" spans="4:10" x14ac:dyDescent="0.35">
      <c r="E36" s="24">
        <v>0</v>
      </c>
      <c r="F36" s="24">
        <v>1</v>
      </c>
      <c r="G36" s="24">
        <v>2</v>
      </c>
      <c r="H36" s="24">
        <v>3</v>
      </c>
      <c r="I36"/>
      <c r="J36"/>
    </row>
    <row r="37" spans="4:10" x14ac:dyDescent="0.35">
      <c r="D37" s="23" t="s">
        <v>26</v>
      </c>
      <c r="E37" s="34">
        <v>0</v>
      </c>
      <c r="F37" s="34">
        <f>E14*E16</f>
        <v>100</v>
      </c>
      <c r="G37" s="34">
        <f>$F$37</f>
        <v>100</v>
      </c>
      <c r="H37" s="34">
        <f>$F$37</f>
        <v>100</v>
      </c>
      <c r="I37"/>
      <c r="J37"/>
    </row>
    <row r="38" spans="4:10" x14ac:dyDescent="0.35">
      <c r="D38" s="23" t="s">
        <v>27</v>
      </c>
      <c r="E38" s="34">
        <v>0</v>
      </c>
      <c r="F38" s="34">
        <v>0</v>
      </c>
      <c r="G38" s="34">
        <v>0</v>
      </c>
      <c r="H38" s="34">
        <v>1000</v>
      </c>
      <c r="I38"/>
      <c r="J38"/>
    </row>
    <row r="39" spans="4:10" x14ac:dyDescent="0.35">
      <c r="D39" s="35" t="s">
        <v>28</v>
      </c>
      <c r="E39" s="36">
        <f t="shared" ref="E39:G39" si="0">E37+E38</f>
        <v>0</v>
      </c>
      <c r="F39" s="36">
        <f t="shared" si="0"/>
        <v>100</v>
      </c>
      <c r="G39" s="36">
        <f t="shared" si="0"/>
        <v>100</v>
      </c>
      <c r="H39" s="36">
        <f>H37+H38</f>
        <v>1100</v>
      </c>
    </row>
    <row r="42" spans="4:10" x14ac:dyDescent="0.35">
      <c r="F42" s="86" t="s">
        <v>40</v>
      </c>
      <c r="G42" s="86"/>
      <c r="H42" s="86"/>
      <c r="I42" s="86"/>
    </row>
    <row r="43" spans="4:10" x14ac:dyDescent="0.35">
      <c r="D43" s="86" t="s">
        <v>11</v>
      </c>
      <c r="E43" s="86"/>
      <c r="F43" s="87" t="s">
        <v>8</v>
      </c>
      <c r="G43" s="87"/>
      <c r="H43" s="88" t="s">
        <v>9</v>
      </c>
      <c r="I43" s="88"/>
    </row>
    <row r="44" spans="4:10" x14ac:dyDescent="0.35">
      <c r="D44" s="89" t="s">
        <v>29</v>
      </c>
      <c r="E44" s="89"/>
      <c r="F44" s="90">
        <f>F37*((1-(1+E20)^(-E18))/E20)</f>
        <v>232.16320271284562</v>
      </c>
      <c r="G44" s="90"/>
      <c r="H44" s="91">
        <f>PV(E20,E18,F37,H38)</f>
        <v>-907.13471891486176</v>
      </c>
      <c r="I44" s="92"/>
    </row>
    <row r="45" spans="4:10" x14ac:dyDescent="0.35">
      <c r="D45" s="89" t="s">
        <v>30</v>
      </c>
      <c r="E45" s="89"/>
      <c r="F45" s="90">
        <f>H38/(1+E20)^E18</f>
        <v>674.97151620201612</v>
      </c>
      <c r="G45" s="90"/>
      <c r="H45" s="93"/>
      <c r="I45" s="94"/>
    </row>
    <row r="46" spans="4:10" x14ac:dyDescent="0.35">
      <c r="D46" s="97" t="s">
        <v>31</v>
      </c>
      <c r="E46" s="97"/>
      <c r="F46" s="98">
        <f>F44+F45</f>
        <v>907.13471891486176</v>
      </c>
      <c r="G46" s="98"/>
      <c r="H46" s="95"/>
      <c r="I46" s="96"/>
    </row>
  </sheetData>
  <mergeCells count="11">
    <mergeCell ref="F42:I42"/>
    <mergeCell ref="D43:E43"/>
    <mergeCell ref="F43:G43"/>
    <mergeCell ref="H43:I43"/>
    <mergeCell ref="D44:E44"/>
    <mergeCell ref="F44:G44"/>
    <mergeCell ref="H44:I46"/>
    <mergeCell ref="D45:E45"/>
    <mergeCell ref="F45:G45"/>
    <mergeCell ref="D46:E46"/>
    <mergeCell ref="F46:G46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3:V49"/>
  <sheetViews>
    <sheetView workbookViewId="0">
      <pane ySplit="11" topLeftCell="A43" activePane="bottomLeft" state="frozen"/>
      <selection pane="bottomLeft"/>
    </sheetView>
  </sheetViews>
  <sheetFormatPr baseColWidth="10" defaultColWidth="9.1796875" defaultRowHeight="14.5" x14ac:dyDescent="0.35"/>
  <cols>
    <col min="1" max="3" width="9.1796875" style="8"/>
    <col min="4" max="4" width="20.54296875" style="8" customWidth="1"/>
    <col min="5" max="5" width="10.54296875" style="8" bestFit="1" customWidth="1"/>
    <col min="6" max="6" width="9.1796875" style="8"/>
    <col min="7" max="7" width="12" style="8" customWidth="1"/>
    <col min="8" max="8" width="9.54296875" style="8" bestFit="1" customWidth="1"/>
    <col min="9" max="9" width="9.1796875" style="8"/>
    <col min="10" max="10" width="9.54296875" style="8" bestFit="1" customWidth="1"/>
    <col min="11" max="16384" width="9.1796875" style="8"/>
  </cols>
  <sheetData>
    <row r="13" spans="4:7" x14ac:dyDescent="0.35">
      <c r="D13" s="9" t="s">
        <v>5</v>
      </c>
      <c r="E13" s="10" t="s">
        <v>23</v>
      </c>
      <c r="F13" s="10"/>
      <c r="G13" s="11"/>
    </row>
    <row r="14" spans="4:7" x14ac:dyDescent="0.35">
      <c r="D14" s="12"/>
      <c r="E14" s="13"/>
      <c r="F14" s="13"/>
      <c r="G14" s="14"/>
    </row>
    <row r="15" spans="4:7" x14ac:dyDescent="0.35">
      <c r="D15" s="15" t="s">
        <v>22</v>
      </c>
      <c r="E15" s="16">
        <v>1000</v>
      </c>
      <c r="F15" s="13" t="s">
        <v>21</v>
      </c>
      <c r="G15" s="14"/>
    </row>
    <row r="16" spans="4:7" x14ac:dyDescent="0.35">
      <c r="D16" s="12"/>
      <c r="E16" s="13"/>
      <c r="F16" s="13"/>
      <c r="G16" s="14"/>
    </row>
    <row r="17" spans="3:22" x14ac:dyDescent="0.35">
      <c r="D17" s="12" t="s">
        <v>24</v>
      </c>
      <c r="E17" s="18">
        <v>0.1</v>
      </c>
      <c r="F17" s="13" t="s">
        <v>25</v>
      </c>
      <c r="G17" s="14"/>
    </row>
    <row r="18" spans="3:22" x14ac:dyDescent="0.35">
      <c r="D18" s="12"/>
      <c r="E18" s="13"/>
      <c r="F18" s="13"/>
      <c r="G18" s="14"/>
    </row>
    <row r="19" spans="3:22" x14ac:dyDescent="0.35">
      <c r="D19" s="15" t="s">
        <v>2</v>
      </c>
      <c r="E19" s="17">
        <v>3</v>
      </c>
      <c r="F19" s="13"/>
      <c r="G19" s="14"/>
    </row>
    <row r="20" spans="3:22" x14ac:dyDescent="0.35">
      <c r="D20" s="12"/>
      <c r="E20" s="13"/>
      <c r="F20" s="13"/>
      <c r="G20" s="14"/>
    </row>
    <row r="21" spans="3:22" x14ac:dyDescent="0.35">
      <c r="D21" s="15" t="s">
        <v>3</v>
      </c>
      <c r="E21" s="18">
        <v>0.14000000000000001</v>
      </c>
      <c r="G21" s="14"/>
    </row>
    <row r="22" spans="3:22" x14ac:dyDescent="0.35">
      <c r="D22" s="15"/>
      <c r="E22" s="18"/>
      <c r="G22" s="14"/>
    </row>
    <row r="23" spans="3:22" x14ac:dyDescent="0.35">
      <c r="D23" s="15" t="s">
        <v>16</v>
      </c>
      <c r="E23" s="17">
        <v>2</v>
      </c>
      <c r="G23" s="14"/>
    </row>
    <row r="24" spans="3:22" x14ac:dyDescent="0.35">
      <c r="D24" s="12"/>
      <c r="E24" s="13"/>
      <c r="F24" s="13"/>
      <c r="G24" s="14"/>
    </row>
    <row r="25" spans="3:22" x14ac:dyDescent="0.35">
      <c r="D25" s="20" t="s">
        <v>1</v>
      </c>
      <c r="E25" s="21" t="s">
        <v>4</v>
      </c>
      <c r="F25" s="21"/>
      <c r="G25" s="22"/>
    </row>
    <row r="27" spans="3:22" x14ac:dyDescent="0.35">
      <c r="D27" s="8" t="s">
        <v>6</v>
      </c>
    </row>
    <row r="29" spans="3:22" x14ac:dyDescent="0.35">
      <c r="C29" s="8">
        <v>1</v>
      </c>
    </row>
    <row r="31" spans="3:22" x14ac:dyDescent="0.35">
      <c r="C31" s="8">
        <v>2</v>
      </c>
      <c r="P31"/>
      <c r="Q31"/>
      <c r="R31"/>
      <c r="S31"/>
      <c r="T31"/>
      <c r="U31"/>
      <c r="V31"/>
    </row>
    <row r="32" spans="3:22" x14ac:dyDescent="0.35">
      <c r="P32"/>
      <c r="Q32"/>
      <c r="R32"/>
      <c r="S32"/>
      <c r="T32"/>
      <c r="U32"/>
      <c r="V32"/>
    </row>
    <row r="33" spans="3:10" x14ac:dyDescent="0.35">
      <c r="C33" s="8">
        <v>3</v>
      </c>
    </row>
    <row r="36" spans="3:10" x14ac:dyDescent="0.35">
      <c r="D36" s="8" t="s">
        <v>7</v>
      </c>
    </row>
    <row r="38" spans="3:10" x14ac:dyDescent="0.35">
      <c r="D38" s="8" t="s">
        <v>14</v>
      </c>
    </row>
    <row r="39" spans="3:10" x14ac:dyDescent="0.35">
      <c r="E39" s="24">
        <v>0</v>
      </c>
      <c r="F39" s="24">
        <v>1</v>
      </c>
      <c r="G39" s="24">
        <v>2</v>
      </c>
      <c r="H39" s="24">
        <v>3</v>
      </c>
      <c r="I39"/>
      <c r="J39"/>
    </row>
    <row r="40" spans="3:10" x14ac:dyDescent="0.35">
      <c r="D40" s="23" t="s">
        <v>26</v>
      </c>
      <c r="E40" s="34">
        <v>0</v>
      </c>
      <c r="F40" s="34">
        <f>E15*E17</f>
        <v>100</v>
      </c>
      <c r="G40" s="34">
        <f>$F$40</f>
        <v>100</v>
      </c>
      <c r="H40" s="34">
        <f>$F$40</f>
        <v>100</v>
      </c>
      <c r="I40"/>
      <c r="J40"/>
    </row>
    <row r="41" spans="3:10" x14ac:dyDescent="0.35">
      <c r="D41" s="23" t="s">
        <v>27</v>
      </c>
      <c r="E41" s="34">
        <v>0</v>
      </c>
      <c r="F41" s="34">
        <v>0</v>
      </c>
      <c r="G41" s="34">
        <v>0</v>
      </c>
      <c r="H41" s="34">
        <v>1000</v>
      </c>
      <c r="I41"/>
      <c r="J41"/>
    </row>
    <row r="42" spans="3:10" x14ac:dyDescent="0.35">
      <c r="D42" s="35" t="s">
        <v>28</v>
      </c>
      <c r="E42" s="36">
        <f t="shared" ref="E42:G42" si="0">E40+E41</f>
        <v>0</v>
      </c>
      <c r="F42" s="36">
        <f t="shared" si="0"/>
        <v>100</v>
      </c>
      <c r="G42" s="36">
        <f t="shared" si="0"/>
        <v>100</v>
      </c>
      <c r="H42" s="36">
        <f>H40+H41</f>
        <v>1100</v>
      </c>
    </row>
    <row r="45" spans="3:10" x14ac:dyDescent="0.35">
      <c r="F45" s="86" t="s">
        <v>40</v>
      </c>
      <c r="G45" s="86"/>
      <c r="H45" s="86"/>
      <c r="I45" s="86"/>
    </row>
    <row r="46" spans="3:10" x14ac:dyDescent="0.35">
      <c r="D46" s="86" t="s">
        <v>11</v>
      </c>
      <c r="E46" s="86"/>
      <c r="F46" s="87" t="s">
        <v>8</v>
      </c>
      <c r="G46" s="87"/>
      <c r="H46" s="88" t="s">
        <v>9</v>
      </c>
      <c r="I46" s="88"/>
    </row>
    <row r="47" spans="3:10" x14ac:dyDescent="0.35">
      <c r="D47" s="89" t="s">
        <v>29</v>
      </c>
      <c r="E47" s="89"/>
      <c r="F47" s="90">
        <f>(F40/E23)*((1-(1+E21/E23)^(-E19*E23))/(E21/E23))</f>
        <v>238.32698298820532</v>
      </c>
      <c r="G47" s="90"/>
      <c r="H47" s="91">
        <f>PV(E21/E23,E19*E23,F40/E23,H41)</f>
        <v>-904.66920680471787</v>
      </c>
      <c r="I47" s="92"/>
    </row>
    <row r="48" spans="3:10" x14ac:dyDescent="0.35">
      <c r="D48" s="89" t="s">
        <v>30</v>
      </c>
      <c r="E48" s="89"/>
      <c r="F48" s="90">
        <f>H41/(1+E21/E23)^(E23*E19)</f>
        <v>666.3422238165125</v>
      </c>
      <c r="G48" s="90"/>
      <c r="H48" s="93"/>
      <c r="I48" s="94"/>
    </row>
    <row r="49" spans="4:9" x14ac:dyDescent="0.35">
      <c r="D49" s="97" t="s">
        <v>31</v>
      </c>
      <c r="E49" s="97"/>
      <c r="F49" s="98">
        <f>F47+F48</f>
        <v>904.66920680471776</v>
      </c>
      <c r="G49" s="98"/>
      <c r="H49" s="95"/>
      <c r="I49" s="96"/>
    </row>
  </sheetData>
  <mergeCells count="11">
    <mergeCell ref="F49:G49"/>
    <mergeCell ref="F45:I45"/>
    <mergeCell ref="D46:E46"/>
    <mergeCell ref="F46:G46"/>
    <mergeCell ref="H46:I46"/>
    <mergeCell ref="D47:E47"/>
    <mergeCell ref="F47:G47"/>
    <mergeCell ref="H47:I49"/>
    <mergeCell ref="D48:E48"/>
    <mergeCell ref="F48:G48"/>
    <mergeCell ref="D49:E49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K36"/>
  <sheetViews>
    <sheetView workbookViewId="0">
      <pane ySplit="8" topLeftCell="A31" activePane="bottomLeft" state="frozen"/>
      <selection pane="bottomLeft"/>
    </sheetView>
  </sheetViews>
  <sheetFormatPr baseColWidth="10" defaultColWidth="9.1796875" defaultRowHeight="14.5" x14ac:dyDescent="0.35"/>
  <cols>
    <col min="1" max="3" width="9.1796875" style="8"/>
    <col min="4" max="4" width="10.7265625" style="8" customWidth="1"/>
    <col min="5" max="5" width="11.54296875" style="8" bestFit="1" customWidth="1"/>
    <col min="6" max="6" width="17.7265625" style="8" customWidth="1"/>
    <col min="7" max="9" width="9.1796875" style="8"/>
    <col min="10" max="10" width="9.54296875" style="8" bestFit="1" customWidth="1"/>
    <col min="11" max="16384" width="9.1796875" style="8"/>
  </cols>
  <sheetData>
    <row r="3" spans="3:11" x14ac:dyDescent="0.35">
      <c r="K3" s="44" t="s">
        <v>42</v>
      </c>
    </row>
    <row r="10" spans="3:11" x14ac:dyDescent="0.35">
      <c r="C10" s="9" t="s">
        <v>5</v>
      </c>
      <c r="D10" s="10"/>
      <c r="E10" s="10"/>
      <c r="F10" s="11"/>
    </row>
    <row r="11" spans="3:11" x14ac:dyDescent="0.35">
      <c r="C11" s="12"/>
      <c r="D11" s="13"/>
      <c r="E11" s="13"/>
      <c r="F11" s="14"/>
    </row>
    <row r="12" spans="3:11" x14ac:dyDescent="0.35">
      <c r="C12" s="15"/>
      <c r="D12" s="37" t="s">
        <v>22</v>
      </c>
      <c r="E12" s="41">
        <v>100</v>
      </c>
      <c r="F12" s="14"/>
    </row>
    <row r="13" spans="3:11" x14ac:dyDescent="0.35">
      <c r="C13" s="12"/>
      <c r="D13" s="38"/>
      <c r="E13" s="13"/>
      <c r="F13" s="14"/>
    </row>
    <row r="14" spans="3:11" x14ac:dyDescent="0.35">
      <c r="C14" s="12"/>
      <c r="D14" s="37" t="s">
        <v>32</v>
      </c>
      <c r="E14" s="42">
        <v>0.08</v>
      </c>
      <c r="F14" s="14"/>
    </row>
    <row r="15" spans="3:11" x14ac:dyDescent="0.35">
      <c r="C15" s="12"/>
      <c r="D15" s="38"/>
      <c r="E15" s="13"/>
      <c r="F15" s="14"/>
    </row>
    <row r="16" spans="3:11" x14ac:dyDescent="0.35">
      <c r="C16" s="15"/>
      <c r="D16" s="39" t="s">
        <v>3</v>
      </c>
      <c r="E16" s="43">
        <v>0.1</v>
      </c>
      <c r="F16" s="14"/>
    </row>
    <row r="17" spans="3:7" x14ac:dyDescent="0.35">
      <c r="C17" s="15"/>
      <c r="D17" s="39"/>
      <c r="E17" s="43">
        <v>0.12</v>
      </c>
      <c r="F17" s="14"/>
    </row>
    <row r="18" spans="3:7" x14ac:dyDescent="0.35">
      <c r="C18" s="15"/>
      <c r="D18" s="39"/>
      <c r="E18" s="18"/>
      <c r="F18" s="19"/>
    </row>
    <row r="19" spans="3:7" x14ac:dyDescent="0.35">
      <c r="C19" s="15"/>
      <c r="D19" s="38" t="s">
        <v>33</v>
      </c>
      <c r="E19" s="18" t="s">
        <v>4</v>
      </c>
      <c r="F19" s="19" t="s">
        <v>35</v>
      </c>
    </row>
    <row r="20" spans="3:7" x14ac:dyDescent="0.35">
      <c r="C20" s="20"/>
      <c r="D20" s="40" t="s">
        <v>33</v>
      </c>
      <c r="E20" s="21" t="s">
        <v>4</v>
      </c>
      <c r="F20" s="22" t="s">
        <v>36</v>
      </c>
    </row>
    <row r="22" spans="3:7" x14ac:dyDescent="0.35">
      <c r="D22" s="8" t="s">
        <v>6</v>
      </c>
    </row>
    <row r="24" spans="3:7" x14ac:dyDescent="0.35">
      <c r="C24" s="8">
        <v>1</v>
      </c>
    </row>
    <row r="26" spans="3:7" x14ac:dyDescent="0.35">
      <c r="C26" s="8">
        <v>2</v>
      </c>
    </row>
    <row r="29" spans="3:7" x14ac:dyDescent="0.35">
      <c r="D29" s="8" t="s">
        <v>7</v>
      </c>
    </row>
    <row r="31" spans="3:7" x14ac:dyDescent="0.35">
      <c r="D31" s="86" t="s">
        <v>41</v>
      </c>
      <c r="E31" s="86"/>
      <c r="F31" s="86"/>
      <c r="G31" s="86"/>
    </row>
    <row r="32" spans="3:7" x14ac:dyDescent="0.35">
      <c r="D32" s="87" t="s">
        <v>8</v>
      </c>
      <c r="E32" s="87"/>
      <c r="F32" s="88" t="s">
        <v>9</v>
      </c>
      <c r="G32" s="88"/>
    </row>
    <row r="33" spans="3:7" x14ac:dyDescent="0.35">
      <c r="C33" s="31" t="s">
        <v>34</v>
      </c>
      <c r="D33" s="99">
        <f>E12*E14</f>
        <v>8</v>
      </c>
      <c r="E33" s="99"/>
      <c r="F33" s="99">
        <f>E12*E14</f>
        <v>8</v>
      </c>
      <c r="G33" s="99"/>
    </row>
    <row r="34" spans="3:7" x14ac:dyDescent="0.35">
      <c r="C34" s="31" t="s">
        <v>37</v>
      </c>
      <c r="D34" s="99">
        <f>D33/E16</f>
        <v>80</v>
      </c>
      <c r="E34" s="99"/>
      <c r="F34" s="99">
        <f>PV(E16,3000,F33)</f>
        <v>-80</v>
      </c>
      <c r="G34" s="99"/>
    </row>
    <row r="35" spans="3:7" x14ac:dyDescent="0.35">
      <c r="C35" s="31" t="s">
        <v>38</v>
      </c>
      <c r="D35" s="100">
        <f>D33/E17</f>
        <v>66.666666666666671</v>
      </c>
      <c r="E35" s="100"/>
      <c r="F35" s="99">
        <f>PV(E17,3000,F33)</f>
        <v>-66.666666666666671</v>
      </c>
      <c r="G35" s="99"/>
    </row>
    <row r="36" spans="3:7" x14ac:dyDescent="0.35">
      <c r="C36" s="31" t="s">
        <v>39</v>
      </c>
      <c r="D36" s="100">
        <f>D35-D34</f>
        <v>-13.333333333333329</v>
      </c>
      <c r="E36" s="100"/>
      <c r="F36" s="100">
        <f>F35-F34</f>
        <v>13.333333333333329</v>
      </c>
      <c r="G36" s="100"/>
    </row>
  </sheetData>
  <mergeCells count="11">
    <mergeCell ref="D34:E34"/>
    <mergeCell ref="F34:G34"/>
    <mergeCell ref="D35:E35"/>
    <mergeCell ref="F35:G35"/>
    <mergeCell ref="D36:E36"/>
    <mergeCell ref="F36:G36"/>
    <mergeCell ref="D31:G31"/>
    <mergeCell ref="D32:E32"/>
    <mergeCell ref="F32:G32"/>
    <mergeCell ref="D33:E33"/>
    <mergeCell ref="F33:G33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9:H19"/>
  <sheetViews>
    <sheetView workbookViewId="0">
      <pane ySplit="7" topLeftCell="A8" activePane="bottomLeft" state="frozen"/>
      <selection pane="bottomLeft"/>
    </sheetView>
  </sheetViews>
  <sheetFormatPr baseColWidth="10" defaultColWidth="9.1796875" defaultRowHeight="14.5" x14ac:dyDescent="0.35"/>
  <cols>
    <col min="1" max="4" width="9.1796875" style="8"/>
    <col min="5" max="5" width="11.54296875" style="8" bestFit="1" customWidth="1"/>
    <col min="6" max="9" width="9.1796875" style="8"/>
    <col min="10" max="10" width="9.54296875" style="8" bestFit="1" customWidth="1"/>
    <col min="11" max="16384" width="9.1796875" style="8"/>
  </cols>
  <sheetData>
    <row r="9" spans="2:8" x14ac:dyDescent="0.35">
      <c r="B9" s="8" t="s">
        <v>7</v>
      </c>
    </row>
    <row r="11" spans="2:8" x14ac:dyDescent="0.35">
      <c r="D11"/>
      <c r="E11"/>
      <c r="F11"/>
      <c r="G11"/>
      <c r="H11"/>
    </row>
    <row r="12" spans="2:8" x14ac:dyDescent="0.35">
      <c r="D12"/>
      <c r="E12"/>
      <c r="F12"/>
      <c r="G12"/>
      <c r="H12"/>
    </row>
    <row r="13" spans="2:8" x14ac:dyDescent="0.35">
      <c r="D13"/>
      <c r="E13"/>
      <c r="F13"/>
      <c r="G13"/>
      <c r="H13"/>
    </row>
    <row r="14" spans="2:8" x14ac:dyDescent="0.35">
      <c r="D14"/>
      <c r="E14"/>
      <c r="F14"/>
      <c r="G14"/>
      <c r="H14"/>
    </row>
    <row r="15" spans="2:8" x14ac:dyDescent="0.35">
      <c r="D15"/>
      <c r="E15"/>
      <c r="F15"/>
      <c r="G15"/>
      <c r="H15"/>
    </row>
    <row r="16" spans="2:8" x14ac:dyDescent="0.35">
      <c r="D16"/>
      <c r="E16"/>
      <c r="F16"/>
      <c r="G16"/>
      <c r="H16"/>
    </row>
    <row r="17" spans="4:8" x14ac:dyDescent="0.35">
      <c r="D17"/>
      <c r="E17"/>
      <c r="F17"/>
      <c r="G17"/>
      <c r="H17"/>
    </row>
    <row r="18" spans="4:8" x14ac:dyDescent="0.35">
      <c r="D18"/>
      <c r="E18"/>
      <c r="F18"/>
      <c r="G18"/>
      <c r="H18"/>
    </row>
    <row r="19" spans="4:8" x14ac:dyDescent="0.35">
      <c r="D19"/>
      <c r="E19"/>
      <c r="F19"/>
      <c r="G19"/>
      <c r="H19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9:N43"/>
  <sheetViews>
    <sheetView workbookViewId="0">
      <pane ySplit="7" topLeftCell="A11" activePane="bottomLeft" state="frozen"/>
      <selection pane="bottomLeft" activeCell="J12" sqref="J12"/>
    </sheetView>
  </sheetViews>
  <sheetFormatPr baseColWidth="10" defaultColWidth="9.1796875" defaultRowHeight="14.5" x14ac:dyDescent="0.35"/>
  <cols>
    <col min="1" max="1" width="9.1796875" style="8"/>
    <col min="2" max="2" width="20.81640625" style="8" customWidth="1"/>
    <col min="3" max="4" width="9.1796875" style="8"/>
    <col min="5" max="5" width="11.54296875" style="8" bestFit="1" customWidth="1"/>
    <col min="6" max="6" width="10.26953125" style="8" customWidth="1"/>
    <col min="7" max="7" width="12.1796875" style="8" customWidth="1"/>
    <col min="8" max="9" width="9.1796875" style="8"/>
    <col min="10" max="10" width="9.54296875" style="8" bestFit="1" customWidth="1"/>
    <col min="11" max="13" width="9.1796875" style="8"/>
    <col min="14" max="14" width="9.54296875" style="8" bestFit="1" customWidth="1"/>
    <col min="15" max="16384" width="9.1796875" style="8"/>
  </cols>
  <sheetData>
    <row r="9" spans="4:9" x14ac:dyDescent="0.35">
      <c r="D9" s="9" t="s">
        <v>5</v>
      </c>
      <c r="E9" s="10"/>
      <c r="F9" s="10"/>
      <c r="G9" s="10"/>
      <c r="H9" s="10"/>
      <c r="I9" s="11"/>
    </row>
    <row r="10" spans="4:9" x14ac:dyDescent="0.35">
      <c r="D10" s="12"/>
      <c r="E10" s="13"/>
      <c r="F10" s="13"/>
      <c r="G10" s="13"/>
      <c r="H10" s="13"/>
      <c r="I10" s="14"/>
    </row>
    <row r="11" spans="4:9" x14ac:dyDescent="0.35">
      <c r="D11" s="15" t="s">
        <v>44</v>
      </c>
      <c r="E11" s="16">
        <v>2</v>
      </c>
      <c r="F11" s="13"/>
      <c r="G11" s="13"/>
      <c r="H11" s="13"/>
      <c r="I11" s="14"/>
    </row>
    <row r="12" spans="4:9" x14ac:dyDescent="0.35">
      <c r="D12" s="12"/>
      <c r="E12" s="13"/>
      <c r="F12" s="13"/>
      <c r="G12" s="13"/>
      <c r="H12" s="13"/>
      <c r="I12" s="14"/>
    </row>
    <row r="13" spans="4:9" x14ac:dyDescent="0.35">
      <c r="D13" s="15" t="s">
        <v>19</v>
      </c>
      <c r="E13" s="17">
        <v>3</v>
      </c>
      <c r="F13" s="45" t="s">
        <v>45</v>
      </c>
      <c r="G13" s="42">
        <v>0.15</v>
      </c>
      <c r="H13" s="13"/>
      <c r="I13" s="14"/>
    </row>
    <row r="14" spans="4:9" x14ac:dyDescent="0.35">
      <c r="D14" s="15" t="s">
        <v>20</v>
      </c>
      <c r="E14" s="17">
        <v>3</v>
      </c>
      <c r="F14" s="45" t="s">
        <v>46</v>
      </c>
      <c r="G14" s="42">
        <v>0.1</v>
      </c>
      <c r="H14" s="13"/>
      <c r="I14" s="14"/>
    </row>
    <row r="15" spans="4:9" ht="21" x14ac:dyDescent="0.35">
      <c r="D15" s="15" t="s">
        <v>43</v>
      </c>
      <c r="E15" s="29" t="s">
        <v>17</v>
      </c>
      <c r="F15" s="45" t="s">
        <v>47</v>
      </c>
      <c r="G15" s="42">
        <v>0.05</v>
      </c>
      <c r="H15" s="13"/>
      <c r="I15" s="14"/>
    </row>
    <row r="16" spans="4:9" x14ac:dyDescent="0.35">
      <c r="D16" s="12"/>
      <c r="E16" s="13"/>
      <c r="F16" s="13"/>
      <c r="G16" s="13"/>
      <c r="H16" s="13"/>
      <c r="I16" s="14"/>
    </row>
    <row r="17" spans="2:14" x14ac:dyDescent="0.35">
      <c r="D17" s="15" t="s">
        <v>48</v>
      </c>
      <c r="E17" s="18">
        <v>0.18</v>
      </c>
      <c r="F17" s="8" t="s">
        <v>49</v>
      </c>
      <c r="G17" s="13"/>
      <c r="H17" s="13"/>
      <c r="I17" s="14"/>
    </row>
    <row r="18" spans="2:14" x14ac:dyDescent="0.35">
      <c r="D18" s="15"/>
      <c r="E18" s="18"/>
      <c r="F18" s="18"/>
      <c r="G18" s="18"/>
      <c r="H18" s="13"/>
      <c r="I18" s="14"/>
    </row>
    <row r="19" spans="2:14" x14ac:dyDescent="0.35">
      <c r="D19" s="20" t="s">
        <v>50</v>
      </c>
      <c r="E19" s="21" t="s">
        <v>4</v>
      </c>
      <c r="F19" s="21" t="s">
        <v>51</v>
      </c>
      <c r="G19" s="21"/>
      <c r="H19" s="21"/>
      <c r="I19" s="22"/>
    </row>
    <row r="21" spans="2:14" x14ac:dyDescent="0.35">
      <c r="D21" s="8" t="s">
        <v>6</v>
      </c>
    </row>
    <row r="23" spans="2:14" x14ac:dyDescent="0.35">
      <c r="C23" s="8">
        <v>1</v>
      </c>
    </row>
    <row r="25" spans="2:14" x14ac:dyDescent="0.35">
      <c r="C25" s="8">
        <v>2</v>
      </c>
    </row>
    <row r="27" spans="2:14" x14ac:dyDescent="0.35">
      <c r="D27" s="8" t="s">
        <v>7</v>
      </c>
    </row>
    <row r="29" spans="2:14" x14ac:dyDescent="0.35">
      <c r="B29" s="8" t="s">
        <v>14</v>
      </c>
      <c r="D29" s="101" t="s">
        <v>58</v>
      </c>
      <c r="E29" s="102"/>
      <c r="F29" s="103"/>
      <c r="G29" s="101" t="s">
        <v>59</v>
      </c>
      <c r="H29" s="102"/>
      <c r="I29" s="103"/>
      <c r="J29" s="101" t="s">
        <v>60</v>
      </c>
      <c r="K29" s="102"/>
      <c r="L29" s="102"/>
      <c r="M29" s="102"/>
      <c r="N29" s="103"/>
    </row>
    <row r="30" spans="2:14" ht="18.5" x14ac:dyDescent="0.35">
      <c r="C30" s="24">
        <v>0</v>
      </c>
      <c r="D30" s="24">
        <v>1</v>
      </c>
      <c r="E30" s="24">
        <v>2</v>
      </c>
      <c r="F30" s="24">
        <v>3</v>
      </c>
      <c r="G30" s="30">
        <v>4</v>
      </c>
      <c r="H30" s="30">
        <v>5</v>
      </c>
      <c r="I30" s="30">
        <v>6</v>
      </c>
      <c r="J30" s="46">
        <v>7</v>
      </c>
      <c r="K30" s="46">
        <v>8</v>
      </c>
      <c r="L30" s="46">
        <v>9</v>
      </c>
      <c r="M30" s="46" t="s">
        <v>52</v>
      </c>
      <c r="N30" s="47" t="s">
        <v>17</v>
      </c>
    </row>
    <row r="31" spans="2:14" x14ac:dyDescent="0.35">
      <c r="B31" s="23" t="s">
        <v>53</v>
      </c>
      <c r="C31" s="34">
        <f>E11</f>
        <v>2</v>
      </c>
      <c r="D31" s="34">
        <f>C31*(1+$G$13)</f>
        <v>2.2999999999999998</v>
      </c>
      <c r="E31" s="34">
        <f t="shared" ref="E31:F31" si="0">D31*(1+$G$13)</f>
        <v>2.6449999999999996</v>
      </c>
      <c r="F31" s="34">
        <f t="shared" si="0"/>
        <v>3.0417499999999991</v>
      </c>
      <c r="G31" s="34"/>
      <c r="H31" s="34"/>
      <c r="I31" s="34"/>
      <c r="J31" s="34"/>
      <c r="K31" s="34"/>
      <c r="L31" s="34"/>
      <c r="M31" s="34"/>
      <c r="N31" s="34"/>
    </row>
    <row r="32" spans="2:14" x14ac:dyDescent="0.35">
      <c r="B32" s="23" t="s">
        <v>54</v>
      </c>
      <c r="C32" s="34"/>
      <c r="D32" s="34"/>
      <c r="E32" s="34"/>
      <c r="F32" s="34"/>
      <c r="G32" s="34">
        <f>F31*(1+$G$14)</f>
        <v>3.3459249999999994</v>
      </c>
      <c r="H32" s="34">
        <f>G32*(1+$G$14)</f>
        <v>3.6805174999999997</v>
      </c>
      <c r="I32" s="34">
        <f>H32*(1+$G$14)</f>
        <v>4.0485692499999999</v>
      </c>
      <c r="J32" s="34"/>
      <c r="K32" s="34"/>
      <c r="L32" s="34"/>
      <c r="M32" s="34"/>
      <c r="N32" s="34"/>
    </row>
    <row r="33" spans="2:14" x14ac:dyDescent="0.35">
      <c r="B33" s="23" t="s">
        <v>55</v>
      </c>
      <c r="C33" s="34"/>
      <c r="D33" s="34"/>
      <c r="E33" s="34"/>
      <c r="F33" s="34"/>
      <c r="G33" s="34"/>
      <c r="H33" s="34"/>
      <c r="I33" s="34">
        <f>J33/(E17-G15)</f>
        <v>32.699982403846157</v>
      </c>
      <c r="J33" s="34">
        <f>I32*(1+$G$15)</f>
        <v>4.2509977125000002</v>
      </c>
      <c r="K33" s="34"/>
      <c r="L33" s="34"/>
      <c r="M33" s="34"/>
      <c r="N33" s="34"/>
    </row>
    <row r="34" spans="2:14" x14ac:dyDescent="0.35">
      <c r="B34" s="35" t="s">
        <v>28</v>
      </c>
      <c r="C34" s="36"/>
      <c r="D34" s="36">
        <f t="shared" ref="D34:I34" si="1">SUM(D31:D33)</f>
        <v>2.2999999999999998</v>
      </c>
      <c r="E34" s="36">
        <f t="shared" si="1"/>
        <v>2.6449999999999996</v>
      </c>
      <c r="F34" s="36">
        <f t="shared" si="1"/>
        <v>3.0417499999999991</v>
      </c>
      <c r="G34" s="36">
        <f t="shared" si="1"/>
        <v>3.3459249999999994</v>
      </c>
      <c r="H34" s="36">
        <f t="shared" si="1"/>
        <v>3.6805174999999997</v>
      </c>
      <c r="I34" s="36">
        <f t="shared" si="1"/>
        <v>36.748551653846157</v>
      </c>
      <c r="J34" s="36"/>
      <c r="K34" s="36"/>
      <c r="L34" s="36"/>
      <c r="M34" s="36"/>
      <c r="N34" s="36"/>
    </row>
    <row r="36" spans="2:14" x14ac:dyDescent="0.35">
      <c r="B36" s="8" t="s">
        <v>57</v>
      </c>
    </row>
    <row r="37" spans="2:14" x14ac:dyDescent="0.35">
      <c r="B37" s="32" t="s">
        <v>56</v>
      </c>
    </row>
    <row r="38" spans="2:14" x14ac:dyDescent="0.35">
      <c r="B38" s="49">
        <f>SUM(D38:I38)</f>
        <v>22.647454879614202</v>
      </c>
      <c r="C38" s="48" t="s">
        <v>61</v>
      </c>
      <c r="D38" s="34">
        <f>D34/(1+$E$17)^D30</f>
        <v>1.9491525423728813</v>
      </c>
      <c r="E38" s="34">
        <f t="shared" ref="E38:I38" si="2">E34/(1+$E$17)^E30</f>
        <v>1.8995978167193335</v>
      </c>
      <c r="F38" s="34">
        <f t="shared" si="2"/>
        <v>1.8513029569722315</v>
      </c>
      <c r="G38" s="34">
        <f t="shared" si="2"/>
        <v>1.7257908920927585</v>
      </c>
      <c r="H38" s="34">
        <f t="shared" si="2"/>
        <v>1.6087881197474871</v>
      </c>
      <c r="I38" s="34">
        <f t="shared" si="2"/>
        <v>13.612822551709508</v>
      </c>
    </row>
    <row r="40" spans="2:14" x14ac:dyDescent="0.35">
      <c r="B40" s="33" t="s">
        <v>9</v>
      </c>
    </row>
    <row r="41" spans="2:14" x14ac:dyDescent="0.35">
      <c r="B41" s="49">
        <f>NPV($E$17,D34:I34)</f>
        <v>22.647454879614198</v>
      </c>
      <c r="D41"/>
      <c r="E41"/>
      <c r="F41"/>
      <c r="G41"/>
      <c r="H41"/>
      <c r="I41"/>
      <c r="J41"/>
      <c r="K41"/>
      <c r="L41"/>
    </row>
    <row r="42" spans="2:14" x14ac:dyDescent="0.35">
      <c r="D42"/>
      <c r="E42"/>
      <c r="F42"/>
      <c r="G42"/>
      <c r="H42"/>
      <c r="I42"/>
      <c r="J42"/>
      <c r="K42"/>
      <c r="L42"/>
    </row>
    <row r="43" spans="2:14" x14ac:dyDescent="0.35">
      <c r="D43"/>
      <c r="E43"/>
      <c r="F43"/>
      <c r="G43"/>
      <c r="H43"/>
      <c r="I43"/>
      <c r="J43"/>
      <c r="K43"/>
      <c r="L43"/>
    </row>
  </sheetData>
  <mergeCells count="3">
    <mergeCell ref="D29:F29"/>
    <mergeCell ref="G29:I29"/>
    <mergeCell ref="J29:N29"/>
  </mergeCell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5:N39"/>
  <sheetViews>
    <sheetView workbookViewId="0">
      <pane ySplit="13" topLeftCell="A14" activePane="bottomLeft" state="frozen"/>
      <selection pane="bottomLeft"/>
    </sheetView>
  </sheetViews>
  <sheetFormatPr baseColWidth="10" defaultColWidth="9.1796875" defaultRowHeight="14.5" x14ac:dyDescent="0.35"/>
  <cols>
    <col min="1" max="4" width="9.1796875" style="8"/>
    <col min="5" max="5" width="11.54296875" style="8" bestFit="1" customWidth="1"/>
    <col min="6" max="9" width="9.1796875" style="8"/>
    <col min="10" max="10" width="9.54296875" style="8" bestFit="1" customWidth="1"/>
    <col min="11" max="16384" width="9.1796875" style="8"/>
  </cols>
  <sheetData>
    <row r="15" spans="4:9" x14ac:dyDescent="0.35">
      <c r="D15" s="9" t="s">
        <v>5</v>
      </c>
      <c r="E15" s="10"/>
      <c r="F15" s="10"/>
      <c r="G15" s="10"/>
      <c r="H15" s="10"/>
      <c r="I15" s="11"/>
    </row>
    <row r="16" spans="4:9" x14ac:dyDescent="0.35">
      <c r="D16" s="12"/>
      <c r="E16" s="13"/>
      <c r="F16" s="13"/>
      <c r="G16" s="13"/>
      <c r="H16" s="13"/>
      <c r="I16" s="14"/>
    </row>
    <row r="17" spans="4:14" x14ac:dyDescent="0.35">
      <c r="D17" s="15" t="s">
        <v>63</v>
      </c>
      <c r="E17" s="16">
        <v>1.5</v>
      </c>
      <c r="F17" s="13"/>
      <c r="G17" s="13"/>
      <c r="H17" s="13"/>
      <c r="I17" s="14"/>
    </row>
    <row r="18" spans="4:14" x14ac:dyDescent="0.35">
      <c r="D18" s="12"/>
      <c r="E18" s="13"/>
      <c r="F18" s="13"/>
      <c r="G18" s="13"/>
      <c r="H18" s="13"/>
      <c r="I18" s="14"/>
    </row>
    <row r="19" spans="4:14" x14ac:dyDescent="0.35">
      <c r="D19" s="15" t="s">
        <v>62</v>
      </c>
      <c r="E19" s="42">
        <v>0.13</v>
      </c>
      <c r="F19" s="45" t="s">
        <v>45</v>
      </c>
      <c r="G19" s="42">
        <v>0.09</v>
      </c>
      <c r="H19" s="13"/>
      <c r="I19" s="14"/>
    </row>
    <row r="20" spans="4:14" x14ac:dyDescent="0.35">
      <c r="D20" s="15" t="s">
        <v>64</v>
      </c>
      <c r="E20" s="42">
        <v>0.16</v>
      </c>
      <c r="F20" s="45" t="s">
        <v>46</v>
      </c>
      <c r="G20" s="42">
        <v>0.11</v>
      </c>
      <c r="H20" s="13"/>
      <c r="I20" s="14"/>
    </row>
    <row r="21" spans="4:14" x14ac:dyDescent="0.35">
      <c r="D21" s="15" t="s">
        <v>65</v>
      </c>
      <c r="E21" s="42">
        <v>0.14000000000000001</v>
      </c>
      <c r="F21" s="45" t="s">
        <v>47</v>
      </c>
      <c r="G21" s="42">
        <v>0.1</v>
      </c>
      <c r="H21" s="13"/>
      <c r="I21" s="14"/>
    </row>
    <row r="22" spans="4:14" x14ac:dyDescent="0.35">
      <c r="D22" s="12"/>
      <c r="E22" s="13"/>
      <c r="F22" s="13"/>
      <c r="G22" s="13"/>
      <c r="H22" s="13"/>
      <c r="I22" s="14"/>
    </row>
    <row r="23" spans="4:14" x14ac:dyDescent="0.35">
      <c r="D23" s="15" t="s">
        <v>70</v>
      </c>
      <c r="E23" s="18" t="s">
        <v>4</v>
      </c>
      <c r="G23" s="13"/>
      <c r="H23" s="13"/>
      <c r="I23" s="14"/>
    </row>
    <row r="24" spans="4:14" x14ac:dyDescent="0.35">
      <c r="D24" s="15" t="s">
        <v>69</v>
      </c>
      <c r="E24" s="18" t="s">
        <v>4</v>
      </c>
      <c r="F24" s="18"/>
      <c r="G24" s="18"/>
      <c r="H24" s="13"/>
      <c r="I24" s="14"/>
      <c r="N24" s="8">
        <f>1.5/(13%-9%)</f>
        <v>37.499999999999993</v>
      </c>
    </row>
    <row r="25" spans="4:14" x14ac:dyDescent="0.35">
      <c r="D25" s="20" t="s">
        <v>68</v>
      </c>
      <c r="E25" s="21" t="s">
        <v>4</v>
      </c>
      <c r="F25" s="21"/>
      <c r="G25" s="21"/>
      <c r="H25" s="21"/>
      <c r="I25" s="22"/>
      <c r="N25" s="8">
        <f>1.5/(16%-11%)</f>
        <v>30</v>
      </c>
    </row>
    <row r="26" spans="4:14" x14ac:dyDescent="0.35">
      <c r="N26" s="8">
        <f>1.5/(14%-10%)</f>
        <v>37.499999999999993</v>
      </c>
    </row>
    <row r="27" spans="4:14" x14ac:dyDescent="0.35">
      <c r="D27" s="31" t="s">
        <v>6</v>
      </c>
    </row>
    <row r="29" spans="4:14" x14ac:dyDescent="0.35">
      <c r="H29" s="25"/>
    </row>
    <row r="31" spans="4:14" x14ac:dyDescent="0.35">
      <c r="D31" s="8" t="s">
        <v>7</v>
      </c>
    </row>
    <row r="33" spans="3:7" x14ac:dyDescent="0.35">
      <c r="F33"/>
      <c r="G33"/>
    </row>
    <row r="34" spans="3:7" x14ac:dyDescent="0.35">
      <c r="D34" s="104" t="s">
        <v>73</v>
      </c>
      <c r="E34" s="105"/>
      <c r="F34"/>
      <c r="G34"/>
    </row>
    <row r="35" spans="3:7" x14ac:dyDescent="0.35">
      <c r="C35" s="31" t="s">
        <v>66</v>
      </c>
      <c r="D35" s="90">
        <f>$E$17/(E19-G19)</f>
        <v>37.499999999999993</v>
      </c>
      <c r="E35" s="90"/>
      <c r="F35"/>
      <c r="G35"/>
    </row>
    <row r="36" spans="3:7" x14ac:dyDescent="0.35">
      <c r="C36" s="31" t="s">
        <v>67</v>
      </c>
      <c r="D36" s="90">
        <f t="shared" ref="D36:D37" si="0">$E$17/(E20-G20)</f>
        <v>30</v>
      </c>
      <c r="E36" s="90"/>
      <c r="F36"/>
      <c r="G36"/>
    </row>
    <row r="37" spans="3:7" x14ac:dyDescent="0.35">
      <c r="C37" s="31" t="s">
        <v>71</v>
      </c>
      <c r="D37" s="90">
        <f t="shared" si="0"/>
        <v>37.499999999999993</v>
      </c>
      <c r="E37" s="90"/>
      <c r="F37"/>
      <c r="G37"/>
    </row>
    <row r="39" spans="3:7" x14ac:dyDescent="0.35">
      <c r="C39" s="8" t="s">
        <v>72</v>
      </c>
    </row>
  </sheetData>
  <mergeCells count="4">
    <mergeCell ref="D36:E36"/>
    <mergeCell ref="D37:E37"/>
    <mergeCell ref="D34:E34"/>
    <mergeCell ref="D35:E3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3:P47"/>
  <sheetViews>
    <sheetView workbookViewId="0">
      <pane ySplit="9" topLeftCell="A15" activePane="bottomLeft" state="frozen"/>
      <selection pane="bottomLeft"/>
    </sheetView>
  </sheetViews>
  <sheetFormatPr baseColWidth="10" defaultColWidth="9.1796875" defaultRowHeight="14.5" x14ac:dyDescent="0.35"/>
  <cols>
    <col min="1" max="3" width="9.1796875" style="8"/>
    <col min="4" max="4" width="13.7265625" style="8" bestFit="1" customWidth="1"/>
    <col min="5" max="5" width="11.54296875" style="8" bestFit="1" customWidth="1"/>
    <col min="6" max="9" width="9.1796875" style="8"/>
    <col min="10" max="10" width="9.54296875" style="8" bestFit="1" customWidth="1"/>
    <col min="11" max="16384" width="9.1796875" style="8"/>
  </cols>
  <sheetData>
    <row r="13" spans="4:7" x14ac:dyDescent="0.35">
      <c r="D13" s="9" t="s">
        <v>5</v>
      </c>
      <c r="E13" s="10"/>
      <c r="F13" s="10"/>
      <c r="G13" s="11"/>
    </row>
    <row r="14" spans="4:7" x14ac:dyDescent="0.35">
      <c r="D14" s="12"/>
      <c r="E14" s="13"/>
      <c r="F14" s="13"/>
      <c r="G14" s="14"/>
    </row>
    <row r="15" spans="4:7" x14ac:dyDescent="0.35">
      <c r="D15" s="50" t="s">
        <v>22</v>
      </c>
      <c r="E15" s="41">
        <v>100</v>
      </c>
      <c r="F15" s="13"/>
      <c r="G15" s="14"/>
    </row>
    <row r="16" spans="4:7" x14ac:dyDescent="0.35">
      <c r="D16" s="12"/>
      <c r="E16" s="13"/>
      <c r="F16" s="13"/>
      <c r="G16" s="14"/>
    </row>
    <row r="17" spans="3:8" x14ac:dyDescent="0.35">
      <c r="D17" s="15" t="s">
        <v>13</v>
      </c>
      <c r="E17" s="16">
        <v>8</v>
      </c>
      <c r="F17" s="13"/>
      <c r="G17" s="14"/>
    </row>
    <row r="18" spans="3:8" x14ac:dyDescent="0.35">
      <c r="D18" s="12"/>
      <c r="E18" s="13"/>
      <c r="F18" s="13"/>
      <c r="G18" s="14"/>
    </row>
    <row r="19" spans="3:8" x14ac:dyDescent="0.35">
      <c r="D19" s="15" t="s">
        <v>74</v>
      </c>
      <c r="E19" s="51">
        <v>110</v>
      </c>
      <c r="F19" s="13"/>
      <c r="G19" s="14"/>
    </row>
    <row r="20" spans="3:8" x14ac:dyDescent="0.35">
      <c r="D20" s="15"/>
      <c r="E20" s="51"/>
      <c r="F20" s="13"/>
      <c r="G20" s="14"/>
    </row>
    <row r="21" spans="3:8" x14ac:dyDescent="0.35">
      <c r="D21" s="15" t="s">
        <v>2</v>
      </c>
      <c r="E21" s="53">
        <v>5</v>
      </c>
      <c r="F21" s="13"/>
      <c r="G21" s="14"/>
    </row>
    <row r="22" spans="3:8" x14ac:dyDescent="0.35">
      <c r="D22" s="52"/>
      <c r="E22" s="13"/>
      <c r="F22" s="13"/>
      <c r="G22" s="14"/>
    </row>
    <row r="23" spans="3:8" x14ac:dyDescent="0.35">
      <c r="D23" s="15" t="s">
        <v>32</v>
      </c>
      <c r="E23" s="17" t="s">
        <v>4</v>
      </c>
      <c r="F23" s="13"/>
      <c r="G23" s="14"/>
    </row>
    <row r="24" spans="3:8" x14ac:dyDescent="0.35">
      <c r="D24" s="12"/>
      <c r="E24" s="13"/>
      <c r="F24" s="13"/>
      <c r="G24" s="14"/>
    </row>
    <row r="25" spans="3:8" x14ac:dyDescent="0.35">
      <c r="D25" s="20" t="s">
        <v>3</v>
      </c>
      <c r="E25" s="21" t="s">
        <v>4</v>
      </c>
      <c r="F25" s="21"/>
      <c r="G25" s="22"/>
    </row>
    <row r="27" spans="3:8" x14ac:dyDescent="0.35">
      <c r="D27" s="8" t="s">
        <v>6</v>
      </c>
    </row>
    <row r="29" spans="3:8" x14ac:dyDescent="0.35">
      <c r="C29" s="8">
        <v>1</v>
      </c>
      <c r="H29" s="25"/>
    </row>
    <row r="30" spans="3:8" x14ac:dyDescent="0.35">
      <c r="H30" s="25"/>
    </row>
    <row r="32" spans="3:8" x14ac:dyDescent="0.35">
      <c r="D32" s="8" t="s">
        <v>7</v>
      </c>
    </row>
    <row r="34" spans="3:16" x14ac:dyDescent="0.35">
      <c r="D34" s="8" t="s">
        <v>14</v>
      </c>
    </row>
    <row r="35" spans="3:16" x14ac:dyDescent="0.35">
      <c r="E35" s="24">
        <v>0</v>
      </c>
      <c r="F35" s="24">
        <v>1</v>
      </c>
      <c r="G35" s="24">
        <v>2</v>
      </c>
      <c r="H35" s="24">
        <v>3</v>
      </c>
      <c r="I35" s="30">
        <v>4</v>
      </c>
      <c r="J35" s="30">
        <v>5</v>
      </c>
    </row>
    <row r="36" spans="3:16" x14ac:dyDescent="0.35">
      <c r="D36" s="23" t="s">
        <v>34</v>
      </c>
      <c r="E36" s="34"/>
      <c r="F36" s="34">
        <v>8</v>
      </c>
      <c r="G36" s="34">
        <v>8</v>
      </c>
      <c r="H36" s="34">
        <v>8</v>
      </c>
      <c r="I36" s="34">
        <v>8</v>
      </c>
      <c r="J36" s="34">
        <v>8</v>
      </c>
    </row>
    <row r="37" spans="3:16" x14ac:dyDescent="0.35">
      <c r="D37" s="23" t="s">
        <v>10</v>
      </c>
      <c r="E37" s="34"/>
      <c r="F37" s="34"/>
      <c r="G37" s="34"/>
      <c r="H37" s="34"/>
      <c r="I37" s="34"/>
      <c r="J37" s="34">
        <v>110</v>
      </c>
    </row>
    <row r="38" spans="3:16" x14ac:dyDescent="0.35">
      <c r="D38" s="35" t="s">
        <v>28</v>
      </c>
      <c r="E38" s="36">
        <v>-100</v>
      </c>
      <c r="F38" s="36">
        <f>SUM(F36:F37)</f>
        <v>8</v>
      </c>
      <c r="G38" s="36">
        <f t="shared" ref="G38:J38" si="0">SUM(G36:G37)</f>
        <v>8</v>
      </c>
      <c r="H38" s="36">
        <f t="shared" si="0"/>
        <v>8</v>
      </c>
      <c r="I38" s="36">
        <f t="shared" si="0"/>
        <v>8</v>
      </c>
      <c r="J38" s="36">
        <f t="shared" si="0"/>
        <v>118</v>
      </c>
      <c r="K38"/>
    </row>
    <row r="40" spans="3:16" x14ac:dyDescent="0.35">
      <c r="F40"/>
      <c r="G40"/>
    </row>
    <row r="41" spans="3:16" x14ac:dyDescent="0.35">
      <c r="D41" s="104" t="s">
        <v>10</v>
      </c>
      <c r="E41" s="105"/>
      <c r="F41"/>
      <c r="G41"/>
    </row>
    <row r="42" spans="3:16" x14ac:dyDescent="0.35">
      <c r="C42" s="31" t="str">
        <f>D23</f>
        <v>სარგებელი=</v>
      </c>
      <c r="D42" s="106">
        <f>E17/E15</f>
        <v>0.08</v>
      </c>
      <c r="E42" s="107"/>
      <c r="I42" s="54"/>
    </row>
    <row r="43" spans="3:16" x14ac:dyDescent="0.35">
      <c r="C43" s="55" t="str">
        <f>D25</f>
        <v>i=</v>
      </c>
      <c r="D43" s="108">
        <f>IRR(E38:J38)</f>
        <v>9.6494476188037304E-2</v>
      </c>
      <c r="E43" s="108"/>
      <c r="F43"/>
      <c r="G43"/>
      <c r="H43"/>
      <c r="I43"/>
      <c r="J43"/>
      <c r="K43"/>
      <c r="L43"/>
      <c r="M43"/>
      <c r="N43"/>
      <c r="O43"/>
      <c r="P43"/>
    </row>
    <row r="44" spans="3:16" x14ac:dyDescent="0.35"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3:16" x14ac:dyDescent="0.35"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3:16" x14ac:dyDescent="0.35"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3:16" x14ac:dyDescent="0.35"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</sheetData>
  <mergeCells count="3">
    <mergeCell ref="D42:E42"/>
    <mergeCell ref="D43:E43"/>
    <mergeCell ref="D41:E41"/>
  </mergeCells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1:V33"/>
  <sheetViews>
    <sheetView workbookViewId="0">
      <pane ySplit="8" topLeftCell="A11" activePane="bottomLeft" state="frozen"/>
      <selection pane="bottomLeft"/>
    </sheetView>
  </sheetViews>
  <sheetFormatPr baseColWidth="10" defaultColWidth="9.1796875" defaultRowHeight="14.5" x14ac:dyDescent="0.35"/>
  <cols>
    <col min="1" max="3" width="9.1796875" style="8"/>
    <col min="4" max="4" width="13.26953125" style="8" customWidth="1"/>
    <col min="5" max="7" width="12.54296875" style="8" bestFit="1" customWidth="1"/>
    <col min="8" max="10" width="14.26953125" style="8" bestFit="1" customWidth="1"/>
    <col min="11" max="13" width="9.1796875" style="8"/>
    <col min="14" max="14" width="10.81640625" style="8" customWidth="1"/>
    <col min="15" max="16" width="9.1796875" style="8"/>
    <col min="17" max="17" width="10.26953125" style="8" bestFit="1" customWidth="1"/>
    <col min="18" max="16384" width="9.1796875" style="8"/>
  </cols>
  <sheetData>
    <row r="11" spans="4:7" x14ac:dyDescent="0.35">
      <c r="D11" s="9" t="s">
        <v>5</v>
      </c>
      <c r="E11" s="10"/>
      <c r="F11" s="10"/>
      <c r="G11" s="11"/>
    </row>
    <row r="12" spans="4:7" x14ac:dyDescent="0.35">
      <c r="D12" s="12"/>
      <c r="E12" s="13"/>
      <c r="F12" s="13"/>
      <c r="G12" s="14"/>
    </row>
    <row r="13" spans="4:7" x14ac:dyDescent="0.35">
      <c r="D13" s="50" t="s">
        <v>22</v>
      </c>
      <c r="E13" s="16">
        <v>100</v>
      </c>
      <c r="F13" s="13"/>
      <c r="G13" s="14"/>
    </row>
    <row r="14" spans="4:7" x14ac:dyDescent="0.35">
      <c r="D14" s="12"/>
      <c r="E14" s="13"/>
      <c r="F14" s="13"/>
      <c r="G14" s="14"/>
    </row>
    <row r="15" spans="4:7" x14ac:dyDescent="0.35">
      <c r="D15" s="15" t="s">
        <v>32</v>
      </c>
      <c r="E15" s="18">
        <v>0.09</v>
      </c>
      <c r="F15" s="13"/>
      <c r="G15" s="14"/>
    </row>
    <row r="16" spans="4:7" x14ac:dyDescent="0.35">
      <c r="D16" s="12"/>
      <c r="E16" s="13"/>
      <c r="F16" s="13"/>
      <c r="G16" s="14"/>
    </row>
    <row r="17" spans="3:22" x14ac:dyDescent="0.35">
      <c r="D17" s="15" t="s">
        <v>75</v>
      </c>
      <c r="E17" s="16">
        <v>73</v>
      </c>
      <c r="G17" s="14"/>
    </row>
    <row r="18" spans="3:22" x14ac:dyDescent="0.35">
      <c r="D18" s="15"/>
      <c r="E18" s="16"/>
      <c r="G18" s="14"/>
    </row>
    <row r="19" spans="3:22" x14ac:dyDescent="0.35">
      <c r="D19" s="15" t="s">
        <v>3</v>
      </c>
      <c r="E19" s="56">
        <v>0.12</v>
      </c>
      <c r="G19" s="14"/>
    </row>
    <row r="20" spans="3:22" x14ac:dyDescent="0.35">
      <c r="D20" s="12"/>
      <c r="E20" s="13"/>
      <c r="F20" s="13"/>
      <c r="G20" s="14"/>
    </row>
    <row r="21" spans="3:22" x14ac:dyDescent="0.35">
      <c r="D21" s="26" t="s">
        <v>50</v>
      </c>
      <c r="E21" s="21" t="s">
        <v>4</v>
      </c>
      <c r="F21" s="21"/>
      <c r="G21" s="22"/>
    </row>
    <row r="23" spans="3:22" x14ac:dyDescent="0.35">
      <c r="D23" s="8" t="s">
        <v>6</v>
      </c>
    </row>
    <row r="27" spans="3:22" x14ac:dyDescent="0.35">
      <c r="D27" s="8" t="s">
        <v>7</v>
      </c>
    </row>
    <row r="28" spans="3:22" x14ac:dyDescent="0.35">
      <c r="P28"/>
      <c r="Q28"/>
      <c r="R28"/>
      <c r="S28"/>
      <c r="T28"/>
      <c r="U28"/>
      <c r="V28"/>
    </row>
    <row r="29" spans="3:22" x14ac:dyDescent="0.35">
      <c r="C29" s="57" t="s">
        <v>50</v>
      </c>
      <c r="D29" s="58">
        <f>E13*E15/E19</f>
        <v>75</v>
      </c>
      <c r="E29"/>
      <c r="F29"/>
      <c r="G29"/>
      <c r="H29"/>
      <c r="I29"/>
      <c r="J29"/>
      <c r="K29"/>
      <c r="P29"/>
      <c r="Q29"/>
      <c r="R29"/>
      <c r="S29"/>
      <c r="T29"/>
      <c r="U29"/>
      <c r="V29"/>
    </row>
    <row r="30" spans="3:22" x14ac:dyDescent="0.35">
      <c r="D30"/>
      <c r="E30"/>
      <c r="F30"/>
      <c r="G30"/>
      <c r="H30"/>
      <c r="I30"/>
      <c r="J30"/>
      <c r="K30"/>
      <c r="P30"/>
      <c r="Q30"/>
      <c r="R30"/>
      <c r="S30"/>
      <c r="T30"/>
      <c r="U30"/>
      <c r="V30"/>
    </row>
    <row r="31" spans="3:22" x14ac:dyDescent="0.35">
      <c r="D31"/>
      <c r="E31"/>
      <c r="F31"/>
      <c r="G31"/>
      <c r="H31"/>
      <c r="I31"/>
      <c r="J31"/>
      <c r="K31"/>
      <c r="P31"/>
      <c r="Q31"/>
      <c r="R31"/>
      <c r="S31"/>
      <c r="T31"/>
      <c r="U31"/>
      <c r="V31"/>
    </row>
    <row r="32" spans="3:22" x14ac:dyDescent="0.35">
      <c r="D32"/>
      <c r="E32"/>
      <c r="F32"/>
      <c r="G32"/>
      <c r="H32"/>
      <c r="I32"/>
      <c r="J32"/>
      <c r="K32"/>
      <c r="P32"/>
      <c r="Q32"/>
      <c r="R32"/>
      <c r="S32"/>
      <c r="T32"/>
      <c r="U32"/>
      <c r="V32"/>
    </row>
    <row r="33" spans="4:22" x14ac:dyDescent="0.35">
      <c r="D33"/>
      <c r="E33"/>
      <c r="F33"/>
      <c r="G33"/>
      <c r="H33"/>
      <c r="I33"/>
      <c r="J33"/>
      <c r="K33"/>
      <c r="P33"/>
      <c r="Q33"/>
      <c r="R33"/>
      <c r="S33"/>
      <c r="T33"/>
      <c r="U33"/>
      <c r="V3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PV</vt:lpstr>
      <vt:lpstr>ამოცანა 4.1</vt:lpstr>
      <vt:lpstr>ამოცანა 4.2</vt:lpstr>
      <vt:lpstr>ამოცანა 4.3</vt:lpstr>
      <vt:lpstr>ამოცანა 4.4</vt:lpstr>
      <vt:lpstr>ამოცანა 4.5</vt:lpstr>
      <vt:lpstr>ამოცანა 4.6</vt:lpstr>
      <vt:lpstr>ამოცანა 4.7</vt:lpstr>
      <vt:lpstr>ამოცანა 4.8</vt:lpstr>
      <vt:lpstr>ამოცანა 4.9</vt:lpstr>
      <vt:lpstr>ამოცანა 4.10</vt:lpstr>
      <vt:lpstr>ამოცანა 4.11</vt:lpstr>
      <vt:lpstr>ამოცანა 4.12</vt:lpstr>
      <vt:lpstr>ამოცანა 4.13</vt:lpstr>
      <vt:lpstr>ამოცანა 4.14</vt:lpstr>
      <vt:lpstr>FV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Zviad</dc:creator>
  <cp:lastModifiedBy>giorg</cp:lastModifiedBy>
  <dcterms:created xsi:type="dcterms:W3CDTF">2018-10-13T06:00:50Z</dcterms:created>
  <dcterms:modified xsi:type="dcterms:W3CDTF">2020-05-04T20:32:51Z</dcterms:modified>
</cp:coreProperties>
</file>