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3995"/>
  </bookViews>
  <sheets>
    <sheet name="VYPLNOVAT" sheetId="2" r:id="rId1"/>
    <sheet name="Pivovary" sheetId="3" state="hidden" r:id="rId2"/>
    <sheet name="Hospody" sheetId="4" state="hidden" r:id="rId3"/>
    <sheet name="Pivovary_cizina" sheetId="5" state="hidden" r:id="rId4"/>
    <sheet name="Aktuality" sheetId="7" state="hidden" r:id="rId5"/>
    <sheet name="Pivovary_uzavrene" sheetId="8" state="hidden" r:id="rId6"/>
  </sheets>
  <definedNames>
    <definedName name="_xlnm._FilterDatabase" localSheetId="1" hidden="1">Pivovary!$P$1:$AF$1</definedName>
    <definedName name="_xlnm._FilterDatabase" localSheetId="0" hidden="1">VYPLNOVAT!$A$1:$W$737</definedName>
    <definedName name="Z_99A1B3A8_EE0B_4F61_A62D_D19EB387D23E_.wvu.FilterData" localSheetId="0" hidden="1">VYPLNOVAT!$B$1:$B$1123</definedName>
    <definedName name="Z_AB5A28B1_455E_4E9D_B57A_5C0990705952_.wvu.FilterData" localSheetId="0" hidden="1">VYPLNOVAT!$A$1:$R$737</definedName>
    <definedName name="Z_BF5B5DF2_411A_4C72_9546_D6F3D7B40AFC_.wvu.FilterData" localSheetId="0" hidden="1">VYPLNOVAT!$A$1:$W$737</definedName>
    <definedName name="Z_EA40B602_513A_4324_9374_44672C94F427_.wvu.FilterData" localSheetId="0" hidden="1">VYPLNOVAT!$H$1:$H$1123</definedName>
  </definedNames>
  <calcPr calcId="145621"/>
  <customWorkbookViews>
    <customWorkbookView name="Filtr 3" guid="{AB5A28B1-455E-4E9D-B57A-5C0990705952}" maximized="1" windowWidth="0" windowHeight="0" activeSheetId="0"/>
    <customWorkbookView name="Filtr 4" guid="{BF5B5DF2-411A-4C72-9546-D6F3D7B40AFC}" maximized="1" windowWidth="0" windowHeight="0" activeSheetId="0"/>
    <customWorkbookView name="Filtr 1" guid="{EA40B602-513A-4324-9374-44672C94F427}" maximized="1" windowWidth="0" windowHeight="0" activeSheetId="0"/>
    <customWorkbookView name="Filtr 2" guid="{99A1B3A8-EE0B-4F61-A62D-D19EB387D23E}" maximized="1" windowWidth="0" windowHeight="0" activeSheetId="0"/>
  </customWorkbookViews>
</workbook>
</file>

<file path=xl/calcChain.xml><?xml version="1.0" encoding="utf-8"?>
<calcChain xmlns="http://schemas.openxmlformats.org/spreadsheetml/2006/main">
  <c r="H454" i="4" l="1"/>
  <c r="H430" i="4"/>
  <c r="G37" i="4"/>
  <c r="AF1008" i="3"/>
  <c r="AF1007" i="3"/>
  <c r="AF1006" i="3"/>
  <c r="AF1005" i="3"/>
  <c r="AF1004" i="3"/>
  <c r="AF1003" i="3"/>
  <c r="AF1002" i="3"/>
  <c r="AF1001" i="3"/>
  <c r="AF1000" i="3"/>
  <c r="AF999" i="3"/>
  <c r="AF998" i="3"/>
  <c r="AF997" i="3"/>
  <c r="AF996" i="3"/>
  <c r="AF995" i="3"/>
  <c r="AF994" i="3"/>
  <c r="AF993" i="3"/>
  <c r="AF992" i="3"/>
  <c r="AF991" i="3"/>
  <c r="AF990" i="3"/>
  <c r="AF989" i="3"/>
  <c r="AF988" i="3"/>
  <c r="AF987" i="3"/>
  <c r="AF986" i="3"/>
  <c r="AF985" i="3"/>
  <c r="AF984" i="3"/>
  <c r="AF983" i="3"/>
  <c r="AF982" i="3"/>
  <c r="AF981" i="3"/>
  <c r="AF980" i="3"/>
  <c r="AF979" i="3"/>
  <c r="AF978" i="3"/>
  <c r="AF977" i="3"/>
  <c r="AF976" i="3"/>
  <c r="AF975" i="3"/>
  <c r="AF974" i="3"/>
  <c r="AF973" i="3"/>
  <c r="AF972" i="3"/>
  <c r="AF971" i="3"/>
  <c r="AF970" i="3"/>
  <c r="AF969" i="3"/>
  <c r="AF968" i="3"/>
  <c r="AF967" i="3"/>
  <c r="AF966" i="3"/>
  <c r="AF965" i="3"/>
  <c r="AF964" i="3"/>
  <c r="AF963" i="3"/>
  <c r="AF962" i="3"/>
  <c r="AF961" i="3"/>
  <c r="AF960" i="3"/>
  <c r="AF959" i="3"/>
  <c r="AF958" i="3"/>
  <c r="AF957" i="3"/>
  <c r="AF956" i="3"/>
  <c r="AF955" i="3"/>
  <c r="AF954" i="3"/>
  <c r="AF953" i="3"/>
  <c r="AF952" i="3"/>
  <c r="AF951" i="3"/>
  <c r="AF950" i="3"/>
  <c r="AF949" i="3"/>
  <c r="AF948" i="3"/>
  <c r="AF947" i="3"/>
  <c r="AF946" i="3"/>
  <c r="AF945" i="3"/>
  <c r="AF944" i="3"/>
  <c r="AF943" i="3"/>
  <c r="AF942" i="3"/>
  <c r="AF941" i="3"/>
  <c r="AF940" i="3"/>
  <c r="AF939" i="3"/>
  <c r="AF938" i="3"/>
  <c r="AF937" i="3"/>
  <c r="AF936" i="3"/>
  <c r="AF935" i="3"/>
  <c r="AF934" i="3"/>
  <c r="AF933" i="3"/>
  <c r="AF932" i="3"/>
  <c r="AF931" i="3"/>
  <c r="AF930" i="3"/>
  <c r="AF929" i="3"/>
  <c r="AF928" i="3"/>
  <c r="AF927" i="3"/>
  <c r="AF926" i="3"/>
  <c r="AF925" i="3"/>
  <c r="AF924" i="3"/>
  <c r="AF923" i="3"/>
  <c r="AF922" i="3"/>
  <c r="AF921" i="3"/>
  <c r="AF920" i="3"/>
  <c r="AF919" i="3"/>
  <c r="AF918" i="3"/>
  <c r="AF917" i="3"/>
  <c r="AF916" i="3"/>
  <c r="AF915" i="3"/>
  <c r="AF914" i="3"/>
  <c r="AF913" i="3"/>
  <c r="AF912" i="3"/>
  <c r="AF911" i="3"/>
  <c r="AF910" i="3"/>
  <c r="AF909" i="3"/>
  <c r="AF908" i="3"/>
  <c r="AF907" i="3"/>
  <c r="AF906" i="3"/>
  <c r="AF905" i="3"/>
  <c r="AF904" i="3"/>
  <c r="AF903" i="3"/>
  <c r="AF902" i="3"/>
  <c r="AF901" i="3"/>
  <c r="AF900" i="3"/>
  <c r="AF899" i="3"/>
  <c r="AF898" i="3"/>
  <c r="AF897" i="3"/>
  <c r="AF896" i="3"/>
  <c r="AF895" i="3"/>
  <c r="AF894" i="3"/>
  <c r="AF893" i="3"/>
  <c r="AF892" i="3"/>
  <c r="AF891" i="3"/>
  <c r="AF890" i="3"/>
  <c r="AF889" i="3"/>
  <c r="AF888" i="3"/>
  <c r="AF887" i="3"/>
  <c r="AF886" i="3"/>
  <c r="AF885" i="3"/>
  <c r="AF884" i="3"/>
  <c r="AF883" i="3"/>
  <c r="AF882" i="3"/>
  <c r="AF881" i="3"/>
  <c r="AF880" i="3"/>
  <c r="AF879" i="3"/>
  <c r="AF878" i="3"/>
  <c r="AF877" i="3"/>
  <c r="AF876" i="3"/>
  <c r="AF875" i="3"/>
  <c r="AF874" i="3"/>
  <c r="AF873" i="3"/>
  <c r="AF872" i="3"/>
  <c r="AF871" i="3"/>
  <c r="AF870" i="3"/>
  <c r="AF869" i="3"/>
  <c r="AF868" i="3"/>
  <c r="AF867" i="3"/>
  <c r="AF866" i="3"/>
  <c r="AF865" i="3"/>
  <c r="AF864" i="3"/>
  <c r="AF863" i="3"/>
  <c r="AF862" i="3"/>
  <c r="AF861" i="3"/>
  <c r="AF860" i="3"/>
  <c r="AF859" i="3"/>
  <c r="AF858" i="3"/>
  <c r="AF857" i="3"/>
  <c r="AF856" i="3"/>
  <c r="AF855" i="3"/>
  <c r="AF854" i="3"/>
  <c r="AF853" i="3"/>
  <c r="AF852" i="3"/>
  <c r="AF851" i="3"/>
  <c r="AF850" i="3"/>
  <c r="AF849" i="3"/>
  <c r="AF848" i="3"/>
  <c r="AF847" i="3"/>
  <c r="AF846" i="3"/>
  <c r="AF845" i="3"/>
  <c r="AF844" i="3"/>
  <c r="AF843" i="3"/>
  <c r="AF842" i="3"/>
  <c r="AF841" i="3"/>
  <c r="AF840" i="3"/>
  <c r="AF839" i="3"/>
  <c r="AF838" i="3"/>
  <c r="AF837" i="3"/>
  <c r="AF836" i="3"/>
  <c r="AF835" i="3"/>
  <c r="AF834" i="3"/>
  <c r="AF833" i="3"/>
  <c r="AF832" i="3"/>
  <c r="AF831" i="3"/>
  <c r="AF830" i="3"/>
  <c r="AF829" i="3"/>
  <c r="AF828" i="3"/>
  <c r="AF827" i="3"/>
  <c r="AF826" i="3"/>
  <c r="AF825" i="3"/>
  <c r="AF824" i="3"/>
  <c r="AF823" i="3"/>
  <c r="AF822" i="3"/>
  <c r="AF821" i="3"/>
  <c r="AF820" i="3"/>
  <c r="AF819" i="3"/>
  <c r="AF818" i="3"/>
  <c r="AF817" i="3"/>
  <c r="AF816" i="3"/>
  <c r="AF815" i="3"/>
  <c r="AF814" i="3"/>
  <c r="AF813" i="3"/>
  <c r="AF812" i="3"/>
  <c r="AF811" i="3"/>
  <c r="AF810" i="3"/>
  <c r="AF809" i="3"/>
  <c r="AF808" i="3"/>
  <c r="AF807" i="3"/>
  <c r="AF806" i="3"/>
  <c r="AF805" i="3"/>
  <c r="AF804" i="3"/>
  <c r="AF803" i="3"/>
  <c r="AF802" i="3"/>
  <c r="AF801" i="3"/>
  <c r="AF800" i="3"/>
  <c r="AF799" i="3"/>
  <c r="AF798" i="3"/>
  <c r="AF797" i="3"/>
  <c r="AF796" i="3"/>
  <c r="AF795" i="3"/>
  <c r="AF794" i="3"/>
  <c r="AF793" i="3"/>
  <c r="AF792" i="3"/>
  <c r="AF791" i="3"/>
  <c r="AF790" i="3"/>
  <c r="AF789" i="3"/>
  <c r="AF788" i="3"/>
  <c r="AF787" i="3"/>
  <c r="AF786" i="3"/>
  <c r="AF785" i="3"/>
  <c r="AF784" i="3"/>
  <c r="AF783" i="3"/>
  <c r="AF782" i="3"/>
  <c r="AF781" i="3"/>
  <c r="AF780" i="3"/>
  <c r="AF779" i="3"/>
  <c r="AF778" i="3"/>
  <c r="AF777" i="3"/>
  <c r="AF776" i="3"/>
  <c r="AF775" i="3"/>
  <c r="AF774" i="3"/>
  <c r="AF773" i="3"/>
  <c r="AF772" i="3"/>
  <c r="AF771" i="3"/>
  <c r="AF770" i="3"/>
  <c r="AF769" i="3"/>
  <c r="AF768" i="3"/>
  <c r="AF767" i="3"/>
  <c r="AF766" i="3"/>
  <c r="AF765" i="3"/>
  <c r="AF764" i="3"/>
  <c r="AF763" i="3"/>
  <c r="AF762" i="3"/>
  <c r="AF761" i="3"/>
  <c r="AF760" i="3"/>
  <c r="AF759" i="3"/>
  <c r="AF758" i="3"/>
  <c r="AF757" i="3"/>
  <c r="AF756" i="3"/>
  <c r="AF755" i="3"/>
  <c r="AF754" i="3"/>
  <c r="AF753" i="3"/>
  <c r="AF752" i="3"/>
  <c r="AF751" i="3"/>
  <c r="AF750" i="3"/>
  <c r="AF749" i="3"/>
  <c r="AF748" i="3"/>
  <c r="AF747" i="3"/>
  <c r="AF746" i="3"/>
  <c r="AF745" i="3"/>
  <c r="AF744" i="3"/>
  <c r="AF743" i="3"/>
  <c r="AF742" i="3"/>
  <c r="AF741" i="3"/>
  <c r="AF740" i="3"/>
  <c r="AF739" i="3"/>
  <c r="AF738" i="3"/>
  <c r="AF737" i="3"/>
  <c r="AF736" i="3"/>
  <c r="AF735" i="3"/>
  <c r="AF734" i="3"/>
  <c r="AF733" i="3"/>
  <c r="AF732" i="3"/>
  <c r="AF731" i="3"/>
  <c r="AF730" i="3"/>
  <c r="AF729" i="3"/>
  <c r="AF728" i="3"/>
  <c r="AF727" i="3"/>
  <c r="AF726" i="3"/>
  <c r="AF725" i="3"/>
  <c r="AF724" i="3"/>
  <c r="AF723" i="3"/>
  <c r="AF722" i="3"/>
  <c r="AF721" i="3"/>
  <c r="AF720" i="3"/>
  <c r="AF719" i="3"/>
  <c r="AF718" i="3"/>
  <c r="AF717" i="3"/>
  <c r="AF716" i="3"/>
  <c r="AF715" i="3"/>
  <c r="AF714" i="3"/>
  <c r="AF713" i="3"/>
  <c r="AF712" i="3"/>
  <c r="AF711" i="3"/>
  <c r="AF710" i="3"/>
  <c r="AF709" i="3"/>
  <c r="AF708" i="3"/>
  <c r="AF707" i="3"/>
  <c r="AF706" i="3"/>
  <c r="AF705" i="3"/>
  <c r="AF704" i="3"/>
  <c r="AF703" i="3"/>
  <c r="AF702" i="3"/>
  <c r="AF701" i="3"/>
  <c r="AF700" i="3"/>
  <c r="AF699" i="3"/>
  <c r="AF698" i="3"/>
  <c r="AF697" i="3"/>
  <c r="AF696" i="3"/>
  <c r="AF695" i="3"/>
  <c r="AF694" i="3"/>
  <c r="AF693" i="3"/>
  <c r="AF692" i="3"/>
  <c r="AF691" i="3"/>
  <c r="AF690" i="3"/>
  <c r="AF689" i="3"/>
  <c r="AF688" i="3"/>
  <c r="AF687" i="3"/>
  <c r="AF686" i="3"/>
  <c r="AF685" i="3"/>
  <c r="AF684" i="3"/>
  <c r="AF683" i="3"/>
  <c r="AF682" i="3"/>
  <c r="AF681" i="3"/>
  <c r="AF680" i="3"/>
  <c r="AF679" i="3"/>
  <c r="AF678" i="3"/>
  <c r="AF677" i="3"/>
  <c r="AF676" i="3"/>
  <c r="AF675" i="3"/>
  <c r="AF674" i="3"/>
  <c r="AF673" i="3"/>
  <c r="AF672" i="3"/>
  <c r="AF671" i="3"/>
  <c r="AF670" i="3"/>
  <c r="AF669" i="3"/>
  <c r="AF668" i="3"/>
  <c r="AF667" i="3"/>
  <c r="AF666" i="3"/>
  <c r="AF665" i="3"/>
  <c r="AF664" i="3"/>
  <c r="AF663" i="3"/>
  <c r="AF662" i="3"/>
  <c r="AF661" i="3"/>
  <c r="AF660" i="3"/>
  <c r="AF659" i="3"/>
  <c r="AF658" i="3"/>
  <c r="AF657" i="3"/>
  <c r="AF656" i="3"/>
  <c r="AF655" i="3"/>
  <c r="AF654" i="3"/>
  <c r="AF653" i="3"/>
  <c r="AF652" i="3"/>
  <c r="AF651" i="3"/>
  <c r="AF650" i="3"/>
  <c r="AF649" i="3"/>
  <c r="AF648" i="3"/>
  <c r="AF647" i="3"/>
  <c r="AF646" i="3"/>
  <c r="AF645" i="3"/>
  <c r="AF644" i="3"/>
  <c r="AF643" i="3"/>
  <c r="AF642" i="3"/>
  <c r="AF641" i="3"/>
  <c r="AF640" i="3"/>
  <c r="AF639" i="3"/>
  <c r="AF638" i="3"/>
  <c r="AF637" i="3"/>
  <c r="AF636" i="3"/>
  <c r="AF635" i="3"/>
  <c r="AF634" i="3"/>
  <c r="AF633" i="3"/>
  <c r="AF632" i="3"/>
  <c r="AF631" i="3"/>
  <c r="AF630" i="3"/>
  <c r="AF629" i="3"/>
  <c r="AF628" i="3"/>
  <c r="AF627" i="3"/>
  <c r="AF626" i="3"/>
  <c r="AF625" i="3"/>
  <c r="AF624" i="3"/>
  <c r="AF623" i="3"/>
  <c r="AF622" i="3"/>
  <c r="AF621" i="3"/>
  <c r="AF620" i="3"/>
  <c r="AF619" i="3"/>
  <c r="AF618" i="3"/>
  <c r="AF617" i="3"/>
  <c r="AF616" i="3"/>
  <c r="AF615" i="3"/>
  <c r="AF614" i="3"/>
  <c r="AF613" i="3"/>
  <c r="AF612" i="3"/>
  <c r="AF611" i="3"/>
  <c r="AF610" i="3"/>
  <c r="AF609" i="3"/>
  <c r="AF608" i="3"/>
  <c r="AF607" i="3"/>
  <c r="AF606" i="3"/>
  <c r="AF605" i="3"/>
  <c r="AF604" i="3"/>
  <c r="AF603" i="3"/>
  <c r="AF602" i="3"/>
  <c r="AF601" i="3"/>
  <c r="AF600" i="3"/>
  <c r="AF599" i="3"/>
  <c r="AF598" i="3"/>
  <c r="AF597" i="3"/>
  <c r="AF596" i="3"/>
  <c r="AF595" i="3"/>
  <c r="AF594" i="3"/>
  <c r="AF593" i="3"/>
  <c r="AF592" i="3"/>
  <c r="AF591" i="3"/>
  <c r="AF590" i="3"/>
  <c r="AF589" i="3"/>
  <c r="AF588" i="3"/>
  <c r="AF587" i="3"/>
  <c r="AF586" i="3"/>
  <c r="AF585" i="3"/>
  <c r="AF584" i="3"/>
  <c r="AF583" i="3"/>
  <c r="AF582" i="3"/>
  <c r="AF581" i="3"/>
  <c r="AF580" i="3"/>
  <c r="AF579" i="3"/>
  <c r="AF578" i="3"/>
  <c r="AF577" i="3"/>
  <c r="AF576" i="3"/>
  <c r="AF575" i="3"/>
  <c r="AF574" i="3"/>
  <c r="AF573" i="3"/>
  <c r="AF572" i="3"/>
  <c r="AF571" i="3"/>
  <c r="AF570" i="3"/>
  <c r="AF569" i="3"/>
  <c r="AF568" i="3"/>
  <c r="AF567" i="3"/>
  <c r="AF566" i="3"/>
  <c r="AF565" i="3"/>
  <c r="AF564" i="3"/>
  <c r="AF563" i="3"/>
  <c r="AF562" i="3"/>
  <c r="AF561" i="3"/>
  <c r="AF560" i="3"/>
  <c r="AF559" i="3"/>
  <c r="AF558" i="3"/>
  <c r="AF557" i="3"/>
  <c r="AF556" i="3"/>
  <c r="AF555" i="3"/>
  <c r="AF554" i="3"/>
  <c r="AF553" i="3"/>
  <c r="AF552" i="3"/>
  <c r="AF551" i="3"/>
  <c r="AF550" i="3"/>
  <c r="AF549" i="3"/>
  <c r="AF548" i="3"/>
  <c r="AF547" i="3"/>
  <c r="AF546" i="3"/>
  <c r="AF545" i="3"/>
  <c r="AF544" i="3"/>
  <c r="AF543" i="3"/>
  <c r="AF542" i="3"/>
  <c r="AF541" i="3"/>
  <c r="AF540" i="3"/>
  <c r="AF539" i="3"/>
  <c r="AF538" i="3"/>
  <c r="AF537" i="3"/>
  <c r="AF536" i="3"/>
  <c r="AF535" i="3"/>
  <c r="AF534" i="3"/>
  <c r="AF533" i="3"/>
  <c r="AF532" i="3"/>
  <c r="AF531" i="3"/>
  <c r="AF530" i="3"/>
  <c r="AF529" i="3"/>
  <c r="AF528" i="3"/>
  <c r="AF527" i="3"/>
  <c r="AF526" i="3"/>
  <c r="AF525" i="3"/>
  <c r="AF524" i="3"/>
  <c r="AF523" i="3"/>
  <c r="AF522" i="3"/>
  <c r="AF521" i="3"/>
  <c r="AF520" i="3"/>
  <c r="AF519" i="3"/>
  <c r="AF518" i="3"/>
  <c r="AF517" i="3"/>
  <c r="AF516" i="3"/>
  <c r="AF515" i="3"/>
  <c r="AF514" i="3"/>
  <c r="AF513" i="3"/>
  <c r="AF512" i="3"/>
  <c r="AF511" i="3"/>
  <c r="AF510" i="3"/>
  <c r="AF509" i="3"/>
  <c r="AF508" i="3"/>
  <c r="AF507" i="3"/>
  <c r="AF506" i="3"/>
  <c r="AF505" i="3"/>
  <c r="AF504" i="3"/>
  <c r="AF503" i="3"/>
  <c r="AF502" i="3"/>
  <c r="AF501" i="3"/>
  <c r="AF500" i="3"/>
  <c r="AF499" i="3"/>
  <c r="AF498" i="3"/>
  <c r="AF497" i="3"/>
  <c r="AF496" i="3"/>
  <c r="AF495" i="3"/>
  <c r="AF494" i="3"/>
  <c r="AF493" i="3"/>
  <c r="AF492" i="3"/>
  <c r="AF491" i="3"/>
  <c r="AF490" i="3"/>
  <c r="AF489" i="3"/>
  <c r="AF488" i="3"/>
  <c r="AF487" i="3"/>
  <c r="AF486" i="3"/>
  <c r="AF485" i="3"/>
  <c r="AF484" i="3"/>
  <c r="AF483" i="3"/>
  <c r="AF482" i="3"/>
  <c r="AF481" i="3"/>
  <c r="AF478" i="3"/>
  <c r="I478" i="3"/>
  <c r="AF477" i="3"/>
  <c r="AF474" i="3"/>
  <c r="AF473" i="3"/>
  <c r="AF472" i="3"/>
  <c r="J472" i="3"/>
  <c r="AF471" i="3"/>
  <c r="J471" i="3"/>
  <c r="AF470" i="3"/>
  <c r="AF469" i="3"/>
  <c r="AF468" i="3"/>
  <c r="AF467" i="3"/>
  <c r="AF466" i="3"/>
  <c r="I466" i="3"/>
  <c r="AF465" i="3"/>
  <c r="AF464" i="3"/>
  <c r="AF463" i="3"/>
  <c r="AF462" i="3"/>
  <c r="AF461" i="3"/>
  <c r="AF460" i="3"/>
  <c r="J460" i="3"/>
  <c r="AF459" i="3"/>
  <c r="AF458" i="3"/>
  <c r="J458" i="3"/>
  <c r="AF457" i="3"/>
  <c r="J457" i="3"/>
  <c r="I457" i="3"/>
  <c r="AF456" i="3"/>
  <c r="I456" i="3"/>
  <c r="AF455" i="3"/>
  <c r="AF454" i="3"/>
  <c r="AF453" i="3"/>
  <c r="J453" i="3"/>
  <c r="I453" i="3"/>
  <c r="AF452" i="3"/>
  <c r="J452" i="3"/>
  <c r="I452" i="3"/>
  <c r="AF451" i="3"/>
  <c r="I451" i="3"/>
  <c r="AF450" i="3"/>
  <c r="J450" i="3"/>
  <c r="I450" i="3"/>
  <c r="AF449" i="3"/>
  <c r="J449" i="3"/>
  <c r="AF448" i="3"/>
  <c r="J448" i="3"/>
  <c r="I448" i="3"/>
  <c r="AF447" i="3"/>
  <c r="J447" i="3"/>
  <c r="I447" i="3"/>
  <c r="AF446" i="3"/>
  <c r="J446" i="3"/>
  <c r="AF445" i="3"/>
  <c r="I445" i="3"/>
  <c r="AF444" i="3"/>
  <c r="J444" i="3"/>
  <c r="I444" i="3"/>
  <c r="AF443" i="3"/>
  <c r="AF442" i="3"/>
  <c r="AF441" i="3"/>
  <c r="J441" i="3"/>
  <c r="I441" i="3"/>
  <c r="AF440" i="3"/>
  <c r="J440" i="3"/>
  <c r="I440" i="3"/>
  <c r="AF439" i="3"/>
  <c r="J439" i="3"/>
  <c r="I439" i="3"/>
  <c r="AF438" i="3"/>
  <c r="J438" i="3"/>
  <c r="I438" i="3"/>
  <c r="AF437" i="3"/>
  <c r="I437" i="3"/>
  <c r="AF436" i="3"/>
  <c r="J436" i="3"/>
  <c r="I436" i="3"/>
  <c r="AF435" i="3"/>
  <c r="J435" i="3"/>
  <c r="I435" i="3"/>
  <c r="AF434" i="3"/>
  <c r="J434" i="3"/>
  <c r="I434" i="3"/>
  <c r="AF433" i="3"/>
  <c r="I433" i="3"/>
  <c r="AF432" i="3"/>
  <c r="J432" i="3"/>
  <c r="AF431" i="3"/>
  <c r="J431" i="3"/>
  <c r="AF430" i="3"/>
  <c r="J430" i="3"/>
  <c r="I430" i="3"/>
  <c r="AF429" i="3"/>
  <c r="I429" i="3"/>
  <c r="AF428" i="3"/>
  <c r="J428" i="3"/>
  <c r="AF427" i="3"/>
  <c r="J427" i="3"/>
  <c r="I427" i="3"/>
  <c r="AF426" i="3"/>
  <c r="J426" i="3"/>
  <c r="I426" i="3"/>
  <c r="AF425" i="3"/>
  <c r="J425" i="3"/>
  <c r="AF424" i="3"/>
  <c r="J424" i="3"/>
  <c r="I424" i="3"/>
  <c r="AF423" i="3"/>
  <c r="AF422" i="3"/>
  <c r="J422" i="3"/>
  <c r="I422" i="3"/>
  <c r="AF421" i="3"/>
  <c r="J421" i="3"/>
  <c r="I421" i="3"/>
  <c r="AF420" i="3"/>
  <c r="I420" i="3"/>
  <c r="AF419" i="3"/>
  <c r="J419" i="3"/>
  <c r="AF418" i="3"/>
  <c r="J418" i="3"/>
  <c r="I418" i="3"/>
  <c r="AF417" i="3"/>
  <c r="J417" i="3"/>
  <c r="AF416" i="3"/>
  <c r="J416" i="3"/>
  <c r="I416" i="3"/>
  <c r="AF415" i="3"/>
  <c r="J415" i="3"/>
  <c r="I415" i="3"/>
  <c r="AF414" i="3"/>
  <c r="J414" i="3"/>
  <c r="AF413" i="3"/>
  <c r="AF412" i="3"/>
  <c r="J412" i="3"/>
  <c r="I412" i="3"/>
  <c r="AF411" i="3"/>
  <c r="J411" i="3"/>
  <c r="I411" i="3"/>
  <c r="AF410" i="3"/>
  <c r="J410" i="3"/>
  <c r="I410" i="3"/>
  <c r="AF409" i="3"/>
  <c r="J409" i="3"/>
  <c r="I409" i="3"/>
  <c r="AF408" i="3"/>
  <c r="J408" i="3"/>
  <c r="I408" i="3"/>
  <c r="AF407" i="3"/>
  <c r="J407" i="3"/>
  <c r="I407" i="3"/>
  <c r="AF406" i="3"/>
  <c r="J406" i="3"/>
  <c r="AF405" i="3"/>
  <c r="J405" i="3"/>
  <c r="I405" i="3"/>
  <c r="AF404" i="3"/>
  <c r="J404" i="3"/>
  <c r="I404" i="3"/>
  <c r="AF403" i="3"/>
  <c r="J403" i="3"/>
  <c r="I403" i="3"/>
  <c r="AF402" i="3"/>
  <c r="J402" i="3"/>
  <c r="I402" i="3"/>
  <c r="AF401" i="3"/>
  <c r="AF400" i="3"/>
  <c r="J400" i="3"/>
  <c r="I400" i="3"/>
  <c r="AF399" i="3"/>
  <c r="AF398" i="3"/>
  <c r="J398" i="3"/>
  <c r="AF397" i="3"/>
  <c r="J397" i="3"/>
  <c r="I397" i="3"/>
  <c r="AF396" i="3"/>
  <c r="J396" i="3"/>
  <c r="I396" i="3"/>
  <c r="AF395" i="3"/>
  <c r="J395" i="3"/>
  <c r="I395" i="3"/>
  <c r="AF394" i="3"/>
  <c r="J394" i="3"/>
  <c r="I394" i="3"/>
  <c r="AF393" i="3"/>
  <c r="J393" i="3"/>
  <c r="I393" i="3"/>
  <c r="AF392" i="3"/>
  <c r="J392" i="3"/>
  <c r="I392" i="3"/>
  <c r="AF391" i="3"/>
  <c r="J391" i="3"/>
  <c r="I391" i="3"/>
  <c r="AF390" i="3"/>
  <c r="I390" i="3"/>
  <c r="AF389" i="3"/>
  <c r="J389" i="3"/>
  <c r="I389" i="3"/>
  <c r="AF388" i="3"/>
  <c r="J388" i="3"/>
  <c r="I388" i="3"/>
  <c r="AF387" i="3"/>
  <c r="I387" i="3"/>
  <c r="AF386" i="3"/>
  <c r="J386" i="3"/>
  <c r="I386" i="3"/>
  <c r="AF385" i="3"/>
  <c r="J385" i="3"/>
  <c r="I385" i="3"/>
  <c r="AF384" i="3"/>
  <c r="J384" i="3"/>
  <c r="I384" i="3"/>
  <c r="AF383" i="3"/>
  <c r="J383" i="3"/>
  <c r="I383" i="3"/>
  <c r="AF382" i="3"/>
  <c r="AF381" i="3"/>
  <c r="J381" i="3"/>
  <c r="I381" i="3"/>
  <c r="AF380" i="3"/>
  <c r="J380" i="3"/>
  <c r="I380" i="3"/>
  <c r="AF379" i="3"/>
  <c r="J379" i="3"/>
  <c r="AF378" i="3"/>
  <c r="J378" i="3"/>
  <c r="I378" i="3"/>
  <c r="AF377" i="3"/>
  <c r="J377" i="3"/>
  <c r="I377" i="3"/>
  <c r="AF376" i="3"/>
  <c r="J376" i="3"/>
  <c r="I376" i="3"/>
  <c r="AF375" i="3"/>
  <c r="J375" i="3"/>
  <c r="I375" i="3"/>
  <c r="AF374" i="3"/>
  <c r="AF373" i="3"/>
  <c r="J373" i="3"/>
  <c r="I373" i="3"/>
  <c r="AF372" i="3"/>
  <c r="J372" i="3"/>
  <c r="I372" i="3"/>
  <c r="AF371" i="3"/>
  <c r="J371" i="3"/>
  <c r="I371" i="3"/>
  <c r="AF370" i="3"/>
  <c r="J370" i="3"/>
  <c r="I370" i="3"/>
  <c r="AF369" i="3"/>
  <c r="J369" i="3"/>
  <c r="I369" i="3"/>
  <c r="AF368" i="3"/>
  <c r="J368" i="3"/>
  <c r="I368" i="3"/>
  <c r="AF367" i="3"/>
  <c r="J367" i="3"/>
  <c r="AF366" i="3"/>
  <c r="J366" i="3"/>
  <c r="I366" i="3"/>
  <c r="AF365" i="3"/>
  <c r="J365" i="3"/>
  <c r="I365" i="3"/>
  <c r="AF364" i="3"/>
  <c r="J364" i="3"/>
  <c r="I364" i="3"/>
  <c r="AF363" i="3"/>
  <c r="J363" i="3"/>
  <c r="I363" i="3"/>
  <c r="AF362" i="3"/>
  <c r="J362" i="3"/>
  <c r="I362" i="3"/>
  <c r="AF361" i="3"/>
  <c r="J361" i="3"/>
  <c r="I361" i="3"/>
  <c r="AF360" i="3"/>
  <c r="J360" i="3"/>
  <c r="I360" i="3"/>
  <c r="AF359" i="3"/>
  <c r="J359" i="3"/>
  <c r="I359" i="3"/>
  <c r="AF358" i="3"/>
  <c r="J358" i="3"/>
  <c r="I358" i="3"/>
  <c r="AF357" i="3"/>
  <c r="J357" i="3"/>
  <c r="I357" i="3"/>
  <c r="AF356" i="3"/>
  <c r="J356" i="3"/>
  <c r="I356" i="3"/>
  <c r="AF355" i="3"/>
  <c r="J355" i="3"/>
  <c r="I355" i="3"/>
  <c r="AF354" i="3"/>
  <c r="J354" i="3"/>
  <c r="I354" i="3"/>
  <c r="AF353" i="3"/>
  <c r="J353" i="3"/>
  <c r="I353" i="3"/>
  <c r="AF352" i="3"/>
  <c r="J352" i="3"/>
  <c r="I352" i="3"/>
  <c r="AF351" i="3"/>
  <c r="J351" i="3"/>
  <c r="I351" i="3"/>
  <c r="AF350" i="3"/>
  <c r="J350" i="3"/>
  <c r="I350" i="3"/>
  <c r="AF349" i="3"/>
  <c r="J349" i="3"/>
  <c r="I349" i="3"/>
  <c r="AF348" i="3"/>
  <c r="J348" i="3"/>
  <c r="I348" i="3"/>
  <c r="AF347" i="3"/>
  <c r="J347" i="3"/>
  <c r="I347" i="3"/>
  <c r="AF346" i="3"/>
  <c r="AF345" i="3"/>
  <c r="J345" i="3"/>
  <c r="I345" i="3"/>
  <c r="AF344" i="3"/>
  <c r="J344" i="3"/>
  <c r="I344" i="3"/>
  <c r="AF343" i="3"/>
  <c r="J343" i="3"/>
  <c r="I343" i="3"/>
  <c r="AF342" i="3"/>
  <c r="J342" i="3"/>
  <c r="AF341" i="3"/>
  <c r="J341" i="3"/>
  <c r="I341" i="3"/>
  <c r="AF340" i="3"/>
  <c r="J340" i="3"/>
  <c r="I340" i="3"/>
  <c r="AF339" i="3"/>
  <c r="J339" i="3"/>
  <c r="I339" i="3"/>
  <c r="AF338" i="3"/>
  <c r="J338" i="3"/>
  <c r="I338" i="3"/>
  <c r="AF337" i="3"/>
  <c r="J337" i="3"/>
  <c r="I337" i="3"/>
  <c r="AF336" i="3"/>
  <c r="J336" i="3"/>
  <c r="I336" i="3"/>
  <c r="AF335" i="3"/>
  <c r="J335" i="3"/>
  <c r="I335" i="3"/>
  <c r="AF334" i="3"/>
  <c r="J334" i="3"/>
  <c r="I334" i="3"/>
  <c r="AF333" i="3"/>
  <c r="J333" i="3"/>
  <c r="I333" i="3"/>
  <c r="AF332" i="3"/>
  <c r="J332" i="3"/>
  <c r="I332" i="3"/>
  <c r="AF331" i="3"/>
  <c r="J331" i="3"/>
  <c r="I331" i="3"/>
  <c r="AF330" i="3"/>
  <c r="J330" i="3"/>
  <c r="I330" i="3"/>
  <c r="AF329" i="3"/>
  <c r="I329" i="3"/>
  <c r="AF328" i="3"/>
  <c r="J328" i="3"/>
  <c r="I328" i="3"/>
  <c r="AF327" i="3"/>
  <c r="J327" i="3"/>
  <c r="I327" i="3"/>
  <c r="AF326" i="3"/>
  <c r="J326" i="3"/>
  <c r="I326" i="3"/>
  <c r="AF325" i="3"/>
  <c r="J325" i="3"/>
  <c r="I325" i="3"/>
  <c r="AF324" i="3"/>
  <c r="J324" i="3"/>
  <c r="AF323" i="3"/>
  <c r="AF322" i="3"/>
  <c r="J322" i="3"/>
  <c r="AF321" i="3"/>
  <c r="J321" i="3"/>
  <c r="I321" i="3"/>
  <c r="AF320" i="3"/>
  <c r="J320" i="3"/>
  <c r="I320" i="3"/>
  <c r="AF319" i="3"/>
  <c r="J319" i="3"/>
  <c r="I319" i="3"/>
  <c r="AF318" i="3"/>
  <c r="J318" i="3"/>
  <c r="I318" i="3"/>
  <c r="AF317" i="3"/>
  <c r="J317" i="3"/>
  <c r="I317" i="3"/>
  <c r="AF316" i="3"/>
  <c r="J316" i="3"/>
  <c r="I316" i="3"/>
  <c r="AF315" i="3"/>
  <c r="J315" i="3"/>
  <c r="I315" i="3"/>
  <c r="AF314" i="3"/>
  <c r="AF313" i="3"/>
  <c r="J313" i="3"/>
  <c r="I313" i="3"/>
  <c r="AF312" i="3"/>
  <c r="J312" i="3"/>
  <c r="I312" i="3"/>
  <c r="AF311" i="3"/>
  <c r="J311" i="3"/>
  <c r="I311" i="3"/>
  <c r="AF310" i="3"/>
  <c r="J310" i="3"/>
  <c r="I310" i="3"/>
  <c r="AF309" i="3"/>
  <c r="J309" i="3"/>
  <c r="I309" i="3"/>
  <c r="AF308" i="3"/>
  <c r="I308" i="3"/>
  <c r="AF307" i="3"/>
  <c r="J307" i="3"/>
  <c r="I307" i="3"/>
  <c r="AF306" i="3"/>
  <c r="J306" i="3"/>
  <c r="I306" i="3"/>
  <c r="AF305" i="3"/>
  <c r="J305" i="3"/>
  <c r="I305" i="3"/>
  <c r="AF304" i="3"/>
  <c r="AF303" i="3"/>
  <c r="J303" i="3"/>
  <c r="I303" i="3"/>
  <c r="AF302" i="3"/>
  <c r="J302" i="3"/>
  <c r="I302" i="3"/>
  <c r="AF301" i="3"/>
  <c r="J301" i="3"/>
  <c r="I301" i="3"/>
  <c r="AF300" i="3"/>
  <c r="J300" i="3"/>
  <c r="I300" i="3"/>
  <c r="AF299" i="3"/>
  <c r="J299" i="3"/>
  <c r="I299" i="3"/>
  <c r="AF298" i="3"/>
  <c r="J298" i="3"/>
  <c r="I298" i="3"/>
  <c r="AF297" i="3"/>
  <c r="J297" i="3"/>
  <c r="I297" i="3"/>
  <c r="AF296" i="3"/>
  <c r="J296" i="3"/>
  <c r="I296" i="3"/>
  <c r="AF295" i="3"/>
  <c r="J295" i="3"/>
  <c r="I295" i="3"/>
  <c r="AF294" i="3"/>
  <c r="I294" i="3"/>
  <c r="AF293" i="3"/>
  <c r="J293" i="3"/>
  <c r="I293" i="3"/>
  <c r="AF292" i="3"/>
  <c r="J292" i="3"/>
  <c r="I292" i="3"/>
  <c r="AF291" i="3"/>
  <c r="J291" i="3"/>
  <c r="I291" i="3"/>
  <c r="AF290" i="3"/>
  <c r="I290" i="3"/>
  <c r="AF289" i="3"/>
  <c r="J289" i="3"/>
  <c r="I289" i="3"/>
  <c r="AF288" i="3"/>
  <c r="J288" i="3"/>
  <c r="I288" i="3"/>
  <c r="AF287" i="3"/>
  <c r="J287" i="3"/>
  <c r="I287" i="3"/>
  <c r="AF286" i="3"/>
  <c r="J286" i="3"/>
  <c r="I286" i="3"/>
  <c r="AF285" i="3"/>
  <c r="I285" i="3"/>
  <c r="AF284" i="3"/>
  <c r="J284" i="3"/>
  <c r="I284" i="3"/>
  <c r="AF283" i="3"/>
  <c r="J283" i="3"/>
  <c r="I283" i="3"/>
  <c r="AF282" i="3"/>
  <c r="J282" i="3"/>
  <c r="I282" i="3"/>
  <c r="AF281" i="3"/>
  <c r="J281" i="3"/>
  <c r="I281" i="3"/>
  <c r="AF280" i="3"/>
  <c r="J280" i="3"/>
  <c r="I280" i="3"/>
  <c r="AF279" i="3"/>
  <c r="J279" i="3"/>
  <c r="I279" i="3"/>
  <c r="AF278" i="3"/>
  <c r="I278" i="3"/>
  <c r="AF277" i="3"/>
  <c r="I277" i="3"/>
  <c r="AF276" i="3"/>
  <c r="J276" i="3"/>
  <c r="I276" i="3"/>
  <c r="AF275" i="3"/>
  <c r="J275" i="3"/>
  <c r="I275" i="3"/>
  <c r="AF274" i="3"/>
  <c r="AF273" i="3"/>
  <c r="AF272" i="3"/>
  <c r="J272" i="3"/>
  <c r="I272" i="3"/>
  <c r="AF271" i="3"/>
  <c r="J271" i="3"/>
  <c r="I271" i="3"/>
  <c r="AF270" i="3"/>
  <c r="J270" i="3"/>
  <c r="I270" i="3"/>
  <c r="AF269" i="3"/>
  <c r="J269" i="3"/>
  <c r="I269" i="3"/>
  <c r="AF268" i="3"/>
  <c r="J268" i="3"/>
  <c r="I268" i="3"/>
  <c r="AF267" i="3"/>
  <c r="J267" i="3"/>
  <c r="I267" i="3"/>
  <c r="AF266" i="3"/>
  <c r="J266" i="3"/>
  <c r="I266" i="3"/>
  <c r="AF265" i="3"/>
  <c r="J265" i="3"/>
  <c r="I265" i="3"/>
  <c r="AF264" i="3"/>
  <c r="J264" i="3"/>
  <c r="I264" i="3"/>
  <c r="AF263" i="3"/>
  <c r="J263" i="3"/>
  <c r="I263" i="3"/>
  <c r="AF262" i="3"/>
  <c r="J262" i="3"/>
  <c r="I262" i="3"/>
  <c r="AF261" i="3"/>
  <c r="J261" i="3"/>
  <c r="I261" i="3"/>
  <c r="AF260" i="3"/>
  <c r="J260" i="3"/>
  <c r="I260" i="3"/>
  <c r="AF259" i="3"/>
  <c r="J259" i="3"/>
  <c r="I259" i="3"/>
  <c r="AF258" i="3"/>
  <c r="J258" i="3"/>
  <c r="I258" i="3"/>
  <c r="AF257" i="3"/>
  <c r="AF256" i="3"/>
  <c r="J256" i="3"/>
  <c r="I256" i="3"/>
  <c r="AF255" i="3"/>
  <c r="J255" i="3"/>
  <c r="I255" i="3"/>
  <c r="AF254" i="3"/>
  <c r="J254" i="3"/>
  <c r="I254" i="3"/>
  <c r="AF253" i="3"/>
  <c r="I253" i="3"/>
  <c r="AF252" i="3"/>
  <c r="AF251" i="3"/>
  <c r="J251" i="3"/>
  <c r="I251" i="3"/>
  <c r="AF250" i="3"/>
  <c r="I250" i="3"/>
  <c r="AF249" i="3"/>
  <c r="AF248" i="3"/>
  <c r="I248" i="3"/>
  <c r="AF247" i="3"/>
  <c r="J247" i="3"/>
  <c r="I247" i="3"/>
  <c r="AF246" i="3"/>
  <c r="J246" i="3"/>
  <c r="I246" i="3"/>
  <c r="AF245" i="3"/>
  <c r="J245" i="3"/>
  <c r="I245" i="3"/>
  <c r="AF244" i="3"/>
  <c r="AF243" i="3"/>
  <c r="J243" i="3"/>
  <c r="I243" i="3"/>
  <c r="AF242" i="3"/>
  <c r="J242" i="3"/>
  <c r="I242" i="3"/>
  <c r="AF241" i="3"/>
  <c r="J241" i="3"/>
  <c r="I241" i="3"/>
  <c r="AF240" i="3"/>
  <c r="J240" i="3"/>
  <c r="I240" i="3"/>
  <c r="AF239" i="3"/>
  <c r="J239" i="3"/>
  <c r="I239" i="3"/>
  <c r="AF238" i="3"/>
  <c r="J238" i="3"/>
  <c r="I238" i="3"/>
  <c r="AF237" i="3"/>
  <c r="J237" i="3"/>
  <c r="I237" i="3"/>
  <c r="AF236" i="3"/>
  <c r="J236" i="3"/>
  <c r="I236" i="3"/>
  <c r="AF235" i="3"/>
  <c r="J235" i="3"/>
  <c r="I235" i="3"/>
  <c r="AF234" i="3"/>
  <c r="J234" i="3"/>
  <c r="AF233" i="3"/>
  <c r="J233" i="3"/>
  <c r="I233" i="3"/>
  <c r="AF232" i="3"/>
  <c r="J232" i="3"/>
  <c r="I232" i="3"/>
  <c r="AF231" i="3"/>
  <c r="J231" i="3"/>
  <c r="I231" i="3"/>
  <c r="AF230" i="3"/>
  <c r="J230" i="3"/>
  <c r="I230" i="3"/>
  <c r="AF229" i="3"/>
  <c r="J229" i="3"/>
  <c r="I229" i="3"/>
  <c r="AF228" i="3"/>
  <c r="J228" i="3"/>
  <c r="I228" i="3"/>
  <c r="AF227" i="3"/>
  <c r="J227" i="3"/>
  <c r="I227" i="3"/>
  <c r="AF226" i="3"/>
  <c r="AF225" i="3"/>
  <c r="J225" i="3"/>
  <c r="I225" i="3"/>
  <c r="AF224" i="3"/>
  <c r="AF223" i="3"/>
  <c r="J223" i="3"/>
  <c r="I223" i="3"/>
  <c r="AF222" i="3"/>
  <c r="J222" i="3"/>
  <c r="AF221" i="3"/>
  <c r="I221" i="3"/>
  <c r="AF220" i="3"/>
  <c r="J220" i="3"/>
  <c r="I220" i="3"/>
  <c r="AF219" i="3"/>
  <c r="J219" i="3"/>
  <c r="I219" i="3"/>
  <c r="AF218" i="3"/>
  <c r="J218" i="3"/>
  <c r="I218" i="3"/>
  <c r="AF217" i="3"/>
  <c r="J217" i="3"/>
  <c r="I217" i="3"/>
  <c r="AF216" i="3"/>
  <c r="J216" i="3"/>
  <c r="AF215" i="3"/>
  <c r="I215" i="3"/>
  <c r="AF214" i="3"/>
  <c r="J214" i="3"/>
  <c r="I214" i="3"/>
  <c r="AF213" i="3"/>
  <c r="J213" i="3"/>
  <c r="I213" i="3"/>
  <c r="AF212" i="3"/>
  <c r="J212" i="3"/>
  <c r="I212" i="3"/>
  <c r="AF211" i="3"/>
  <c r="J211" i="3"/>
  <c r="I211" i="3"/>
  <c r="AF210" i="3"/>
  <c r="J210" i="3"/>
  <c r="I210" i="3"/>
  <c r="AF209" i="3"/>
  <c r="I209" i="3"/>
  <c r="AF208" i="3"/>
  <c r="I208" i="3"/>
  <c r="AF207" i="3"/>
  <c r="I207" i="3"/>
  <c r="AF206" i="3"/>
  <c r="I206" i="3"/>
  <c r="AF205" i="3"/>
  <c r="J205" i="3"/>
  <c r="I205" i="3"/>
  <c r="AF204" i="3"/>
  <c r="AF203" i="3"/>
  <c r="J203" i="3"/>
  <c r="I203" i="3"/>
  <c r="AF202" i="3"/>
  <c r="I202" i="3"/>
  <c r="AF201" i="3"/>
  <c r="J201" i="3"/>
  <c r="I201" i="3"/>
  <c r="AF200" i="3"/>
  <c r="J200" i="3"/>
  <c r="I200" i="3"/>
  <c r="AF199" i="3"/>
  <c r="J199" i="3"/>
  <c r="I199" i="3"/>
  <c r="AF198" i="3"/>
  <c r="J198" i="3"/>
  <c r="I198" i="3"/>
  <c r="AF197" i="3"/>
  <c r="AF196" i="3"/>
  <c r="I196" i="3"/>
  <c r="AF195" i="3"/>
  <c r="J195" i="3"/>
  <c r="I195" i="3"/>
  <c r="AF194" i="3"/>
  <c r="J194" i="3"/>
  <c r="I194" i="3"/>
  <c r="AF193" i="3"/>
  <c r="J193" i="3"/>
  <c r="I193" i="3"/>
  <c r="AF192" i="3"/>
  <c r="J192" i="3"/>
  <c r="I192" i="3"/>
  <c r="AF191" i="3"/>
  <c r="AF190" i="3"/>
  <c r="J190" i="3"/>
  <c r="I190" i="3"/>
  <c r="AF189" i="3"/>
  <c r="J189" i="3"/>
  <c r="I189" i="3"/>
  <c r="AF188" i="3"/>
  <c r="J188" i="3"/>
  <c r="I188" i="3"/>
  <c r="AF187" i="3"/>
  <c r="J187" i="3"/>
  <c r="I187" i="3"/>
  <c r="AF186" i="3"/>
  <c r="J186" i="3"/>
  <c r="I186" i="3"/>
  <c r="AF185" i="3"/>
  <c r="J185" i="3"/>
  <c r="I185" i="3"/>
  <c r="AF184" i="3"/>
  <c r="J184" i="3"/>
  <c r="I184" i="3"/>
  <c r="AF183" i="3"/>
  <c r="I183" i="3"/>
  <c r="AF182" i="3"/>
  <c r="J182" i="3"/>
  <c r="I182" i="3"/>
  <c r="AF181" i="3"/>
  <c r="J181" i="3"/>
  <c r="I181" i="3"/>
  <c r="AF180" i="3"/>
  <c r="J180" i="3"/>
  <c r="I180" i="3"/>
  <c r="AF179" i="3"/>
  <c r="J179" i="3"/>
  <c r="I179" i="3"/>
  <c r="AF178" i="3"/>
  <c r="J178" i="3"/>
  <c r="I178" i="3"/>
  <c r="AF177" i="3"/>
  <c r="J177" i="3"/>
  <c r="I177" i="3"/>
  <c r="AF176" i="3"/>
  <c r="I176" i="3"/>
  <c r="AF175" i="3"/>
  <c r="J175" i="3"/>
  <c r="I175" i="3"/>
  <c r="AF174" i="3"/>
  <c r="J174" i="3"/>
  <c r="I174" i="3"/>
  <c r="AF173" i="3"/>
  <c r="I173" i="3"/>
  <c r="AF172" i="3"/>
  <c r="J172" i="3"/>
  <c r="I172" i="3"/>
  <c r="AF171" i="3"/>
  <c r="J171" i="3"/>
  <c r="I171" i="3"/>
  <c r="AF170" i="3"/>
  <c r="I170" i="3"/>
  <c r="AF169" i="3"/>
  <c r="J169" i="3"/>
  <c r="I169" i="3"/>
  <c r="AF168" i="3"/>
  <c r="J168" i="3"/>
  <c r="I168" i="3"/>
  <c r="AF167" i="3"/>
  <c r="J167" i="3"/>
  <c r="I167" i="3"/>
  <c r="AF166" i="3"/>
  <c r="J166" i="3"/>
  <c r="I166" i="3"/>
  <c r="AF165" i="3"/>
  <c r="J165" i="3"/>
  <c r="I165" i="3"/>
  <c r="AF164" i="3"/>
  <c r="J164" i="3"/>
  <c r="I164" i="3"/>
  <c r="AF163" i="3"/>
  <c r="J163" i="3"/>
  <c r="I163" i="3"/>
  <c r="AF162" i="3"/>
  <c r="J162" i="3"/>
  <c r="I162" i="3"/>
  <c r="AF161" i="3"/>
  <c r="J161" i="3"/>
  <c r="I161" i="3"/>
  <c r="AF160" i="3"/>
  <c r="AF159" i="3"/>
  <c r="AF158" i="3"/>
  <c r="I158" i="3"/>
  <c r="AF157" i="3"/>
  <c r="J157" i="3"/>
  <c r="I157" i="3"/>
  <c r="AF156" i="3"/>
  <c r="J156" i="3"/>
  <c r="I156" i="3"/>
  <c r="AF155" i="3"/>
  <c r="J155" i="3"/>
  <c r="I155" i="3"/>
  <c r="AF154" i="3"/>
  <c r="J154" i="3"/>
  <c r="I154" i="3"/>
  <c r="AF153" i="3"/>
  <c r="J153" i="3"/>
  <c r="I153" i="3"/>
  <c r="AF152" i="3"/>
  <c r="J152" i="3"/>
  <c r="I152" i="3"/>
  <c r="AF151" i="3"/>
  <c r="J151" i="3"/>
  <c r="I151" i="3"/>
  <c r="AF150" i="3"/>
  <c r="J150" i="3"/>
  <c r="I150" i="3"/>
  <c r="AF149" i="3"/>
  <c r="J149" i="3"/>
  <c r="I149" i="3"/>
  <c r="AF148" i="3"/>
  <c r="J148" i="3"/>
  <c r="I148" i="3"/>
  <c r="AF147" i="3"/>
  <c r="J147" i="3"/>
  <c r="I147" i="3"/>
  <c r="AF146" i="3"/>
  <c r="J146" i="3"/>
  <c r="I146" i="3"/>
  <c r="AF145" i="3"/>
  <c r="J145" i="3"/>
  <c r="I145" i="3"/>
  <c r="AF144" i="3"/>
  <c r="J144" i="3"/>
  <c r="I144" i="3"/>
  <c r="AF143" i="3"/>
  <c r="J143" i="3"/>
  <c r="I143" i="3"/>
  <c r="AF142" i="3"/>
  <c r="J142" i="3"/>
  <c r="I142" i="3"/>
  <c r="AF141" i="3"/>
  <c r="J141" i="3"/>
  <c r="I141" i="3"/>
  <c r="AF140" i="3"/>
  <c r="J140" i="3"/>
  <c r="I140" i="3"/>
  <c r="AF139" i="3"/>
  <c r="J139" i="3"/>
  <c r="I139" i="3"/>
  <c r="AF138" i="3"/>
  <c r="J138" i="3"/>
  <c r="I138" i="3"/>
  <c r="AF137" i="3"/>
  <c r="J137" i="3"/>
  <c r="I137" i="3"/>
  <c r="AF136" i="3"/>
  <c r="J136" i="3"/>
  <c r="I136" i="3"/>
  <c r="AF135" i="3"/>
  <c r="J135" i="3"/>
  <c r="I135" i="3"/>
  <c r="AF134" i="3"/>
  <c r="J134" i="3"/>
  <c r="I134" i="3"/>
  <c r="AF133" i="3"/>
  <c r="J133" i="3"/>
  <c r="I133" i="3"/>
  <c r="AF132" i="3"/>
  <c r="AF131" i="3"/>
  <c r="J131" i="3"/>
  <c r="I131" i="3"/>
  <c r="AF130" i="3"/>
  <c r="J130" i="3"/>
  <c r="I130" i="3"/>
  <c r="AF129" i="3"/>
  <c r="I129" i="3"/>
  <c r="AF128" i="3"/>
  <c r="J128" i="3"/>
  <c r="I128" i="3"/>
  <c r="AF127" i="3"/>
  <c r="J127" i="3"/>
  <c r="I127" i="3"/>
  <c r="AF126" i="3"/>
  <c r="J126" i="3"/>
  <c r="I126" i="3"/>
  <c r="AF125" i="3"/>
  <c r="J125" i="3"/>
  <c r="I125" i="3"/>
  <c r="AF124" i="3"/>
  <c r="J124" i="3"/>
  <c r="I124" i="3"/>
  <c r="AF123" i="3"/>
  <c r="J123" i="3"/>
  <c r="I123" i="3"/>
  <c r="AF122" i="3"/>
  <c r="J122" i="3"/>
  <c r="I122" i="3"/>
  <c r="AF121" i="3"/>
  <c r="J121" i="3"/>
  <c r="I121" i="3"/>
  <c r="AF120" i="3"/>
  <c r="J120" i="3"/>
  <c r="I120" i="3"/>
  <c r="AF119" i="3"/>
  <c r="J119" i="3"/>
  <c r="I119" i="3"/>
  <c r="AF118" i="3"/>
  <c r="J118" i="3"/>
  <c r="I118" i="3"/>
  <c r="AF117" i="3"/>
  <c r="I117" i="3"/>
  <c r="AF116" i="3"/>
  <c r="J116" i="3"/>
  <c r="I116" i="3"/>
  <c r="AF115" i="3"/>
  <c r="J115" i="3"/>
  <c r="I115" i="3"/>
  <c r="AF114" i="3"/>
  <c r="J114" i="3"/>
  <c r="I114" i="3"/>
  <c r="AF113" i="3"/>
  <c r="J113" i="3"/>
  <c r="I113" i="3"/>
  <c r="AF112" i="3"/>
  <c r="J112" i="3"/>
  <c r="I112" i="3"/>
  <c r="AF111" i="3"/>
  <c r="J111" i="3"/>
  <c r="I111" i="3"/>
  <c r="AF110" i="3"/>
  <c r="J110" i="3"/>
  <c r="I110" i="3"/>
  <c r="AF109" i="3"/>
  <c r="J109" i="3"/>
  <c r="I109" i="3"/>
  <c r="AF108" i="3"/>
  <c r="J108" i="3"/>
  <c r="I108" i="3"/>
  <c r="AF107" i="3"/>
  <c r="J107" i="3"/>
  <c r="I107" i="3"/>
  <c r="AF106" i="3"/>
  <c r="AF105" i="3"/>
  <c r="J105" i="3"/>
  <c r="I105" i="3"/>
  <c r="AF104" i="3"/>
  <c r="I104" i="3"/>
  <c r="AF103" i="3"/>
  <c r="AF102" i="3"/>
  <c r="J102" i="3"/>
  <c r="I102" i="3"/>
  <c r="AF101" i="3"/>
  <c r="J101" i="3"/>
  <c r="I101" i="3"/>
  <c r="AF100" i="3"/>
  <c r="J100" i="3"/>
  <c r="I100" i="3"/>
  <c r="AF99" i="3"/>
  <c r="J99" i="3"/>
  <c r="I99" i="3"/>
  <c r="AF98" i="3"/>
  <c r="J98" i="3"/>
  <c r="I98" i="3"/>
  <c r="AF97" i="3"/>
  <c r="J97" i="3"/>
  <c r="I97" i="3"/>
  <c r="AF96" i="3"/>
  <c r="AF95" i="3"/>
  <c r="J95" i="3"/>
  <c r="I95" i="3"/>
  <c r="AF94" i="3"/>
  <c r="J94" i="3"/>
  <c r="I94" i="3"/>
  <c r="AF93" i="3"/>
  <c r="J93" i="3"/>
  <c r="AF92" i="3"/>
  <c r="J92" i="3"/>
  <c r="I92" i="3"/>
  <c r="AF91" i="3"/>
  <c r="J91" i="3"/>
  <c r="I91" i="3"/>
  <c r="AF90" i="3"/>
  <c r="J90" i="3"/>
  <c r="I90" i="3"/>
  <c r="AF89" i="3"/>
  <c r="J89" i="3"/>
  <c r="I89" i="3"/>
  <c r="AF88" i="3"/>
  <c r="J88" i="3"/>
  <c r="I88" i="3"/>
  <c r="AF87" i="3"/>
  <c r="J87" i="3"/>
  <c r="I87" i="3"/>
  <c r="AF86" i="3"/>
  <c r="J86" i="3"/>
  <c r="I86" i="3"/>
  <c r="AF85" i="3"/>
  <c r="J85" i="3"/>
  <c r="I85" i="3"/>
  <c r="AF84" i="3"/>
  <c r="J84" i="3"/>
  <c r="I84" i="3"/>
  <c r="AF83" i="3"/>
  <c r="J83" i="3"/>
  <c r="AF82" i="3"/>
  <c r="J82" i="3"/>
  <c r="I82" i="3"/>
  <c r="AF81" i="3"/>
  <c r="J81" i="3"/>
  <c r="I81" i="3"/>
  <c r="AF80" i="3"/>
  <c r="AF79" i="3"/>
  <c r="J79" i="3"/>
  <c r="I79" i="3"/>
  <c r="AF78" i="3"/>
  <c r="J78" i="3"/>
  <c r="I78" i="3"/>
  <c r="AF77" i="3"/>
  <c r="J77" i="3"/>
  <c r="I77" i="3"/>
  <c r="AF76" i="3"/>
  <c r="J76" i="3"/>
  <c r="I76" i="3"/>
  <c r="AF75" i="3"/>
  <c r="J75" i="3"/>
  <c r="I75" i="3"/>
  <c r="AF74" i="3"/>
  <c r="J74" i="3"/>
  <c r="I74" i="3"/>
  <c r="AF73" i="3"/>
  <c r="AF72" i="3"/>
  <c r="AF71" i="3"/>
  <c r="I71" i="3"/>
  <c r="AF70" i="3"/>
  <c r="J70" i="3"/>
  <c r="I70" i="3"/>
  <c r="AF69" i="3"/>
  <c r="J69" i="3"/>
  <c r="AF68" i="3"/>
  <c r="AF67" i="3"/>
  <c r="J67" i="3"/>
  <c r="I67" i="3"/>
  <c r="AF66" i="3"/>
  <c r="AF65" i="3"/>
  <c r="J65" i="3"/>
  <c r="I65" i="3"/>
  <c r="AF64" i="3"/>
  <c r="J64" i="3"/>
  <c r="I64" i="3"/>
  <c r="AF63" i="3"/>
  <c r="J63" i="3"/>
  <c r="I63" i="3"/>
  <c r="AF62" i="3"/>
  <c r="J62" i="3"/>
  <c r="I62" i="3"/>
  <c r="AF61" i="3"/>
  <c r="J61" i="3"/>
  <c r="I61" i="3"/>
  <c r="AF60" i="3"/>
  <c r="J60" i="3"/>
  <c r="I60" i="3"/>
  <c r="AF59" i="3"/>
  <c r="J59" i="3"/>
  <c r="I59" i="3"/>
  <c r="AF58" i="3"/>
  <c r="I58" i="3"/>
  <c r="AF57" i="3"/>
  <c r="J57" i="3"/>
  <c r="I57" i="3"/>
  <c r="AF56" i="3"/>
  <c r="J56" i="3"/>
  <c r="I56" i="3"/>
  <c r="AF55" i="3"/>
  <c r="J55" i="3"/>
  <c r="I55" i="3"/>
  <c r="AF54" i="3"/>
  <c r="I54" i="3"/>
  <c r="AF53" i="3"/>
  <c r="AF52" i="3"/>
  <c r="J52" i="3"/>
  <c r="I52" i="3"/>
  <c r="AF51" i="3"/>
  <c r="J51" i="3"/>
  <c r="I51" i="3"/>
  <c r="AF50" i="3"/>
  <c r="J50" i="3"/>
  <c r="I50" i="3"/>
  <c r="AF49" i="3"/>
  <c r="J49" i="3"/>
  <c r="I49" i="3"/>
  <c r="AF48" i="3"/>
  <c r="J48" i="3"/>
  <c r="I48" i="3"/>
  <c r="AF47" i="3"/>
  <c r="J47" i="3"/>
  <c r="I47" i="3"/>
  <c r="AF46" i="3"/>
  <c r="J46" i="3"/>
  <c r="I46" i="3"/>
  <c r="AF45" i="3"/>
  <c r="J45" i="3"/>
  <c r="I45" i="3"/>
  <c r="AF44" i="3"/>
  <c r="J44" i="3"/>
  <c r="I44" i="3"/>
  <c r="AF43" i="3"/>
  <c r="AF42" i="3"/>
  <c r="I42" i="3"/>
  <c r="AF41" i="3"/>
  <c r="J41" i="3"/>
  <c r="I41" i="3"/>
  <c r="AF40" i="3"/>
  <c r="J40" i="3"/>
  <c r="I40" i="3"/>
  <c r="AF39" i="3"/>
  <c r="J39" i="3"/>
  <c r="I39" i="3"/>
  <c r="AF38" i="3"/>
  <c r="I38" i="3"/>
  <c r="AF37" i="3"/>
  <c r="J37" i="3"/>
  <c r="I37" i="3"/>
  <c r="AF36" i="3"/>
  <c r="AF35" i="3"/>
  <c r="J35" i="3"/>
  <c r="I35" i="3"/>
  <c r="AF34" i="3"/>
  <c r="J34" i="3"/>
  <c r="I34" i="3"/>
  <c r="AF33" i="3"/>
  <c r="J33" i="3"/>
  <c r="I33" i="3"/>
  <c r="AF32" i="3"/>
  <c r="I32" i="3"/>
  <c r="AF31" i="3"/>
  <c r="AF30" i="3"/>
  <c r="J30" i="3"/>
  <c r="AF29" i="3"/>
  <c r="J29" i="3"/>
  <c r="I29" i="3"/>
  <c r="AF28" i="3"/>
  <c r="J28" i="3"/>
  <c r="I28" i="3"/>
  <c r="AF27" i="3"/>
  <c r="J27" i="3"/>
  <c r="I27" i="3"/>
  <c r="AF26" i="3"/>
  <c r="J26" i="3"/>
  <c r="I26" i="3"/>
  <c r="AF25" i="3"/>
  <c r="J25" i="3"/>
  <c r="I25" i="3"/>
  <c r="AF24" i="3"/>
  <c r="J24" i="3"/>
  <c r="I24" i="3"/>
  <c r="AF23" i="3"/>
  <c r="J23" i="3"/>
  <c r="I23" i="3"/>
  <c r="AF22" i="3"/>
  <c r="J22" i="3"/>
  <c r="I22" i="3"/>
  <c r="AF21" i="3"/>
  <c r="AF20" i="3"/>
  <c r="J20" i="3"/>
  <c r="I20" i="3"/>
  <c r="AF19" i="3"/>
  <c r="J19" i="3"/>
  <c r="I19" i="3"/>
  <c r="AF18" i="3"/>
  <c r="J18" i="3"/>
  <c r="I18" i="3"/>
  <c r="AF17" i="3"/>
  <c r="I17" i="3"/>
  <c r="AF16" i="3"/>
  <c r="AF15" i="3"/>
  <c r="J15" i="3"/>
  <c r="I15" i="3"/>
  <c r="AF14" i="3"/>
  <c r="J14" i="3"/>
  <c r="I14" i="3"/>
  <c r="AF13" i="3"/>
  <c r="J13" i="3"/>
  <c r="I13" i="3"/>
  <c r="AF12" i="3"/>
  <c r="J12" i="3"/>
  <c r="I12" i="3"/>
  <c r="AF11" i="3"/>
  <c r="J11" i="3"/>
  <c r="I11" i="3"/>
  <c r="AF10" i="3"/>
  <c r="I10" i="3"/>
  <c r="AF9" i="3"/>
  <c r="J9" i="3"/>
  <c r="I9" i="3"/>
  <c r="AF8" i="3"/>
  <c r="J8" i="3"/>
  <c r="I8" i="3"/>
  <c r="AF7" i="3"/>
  <c r="AF6" i="3"/>
  <c r="J6" i="3"/>
  <c r="I6" i="3"/>
  <c r="AF5" i="3"/>
  <c r="J5" i="3"/>
  <c r="I5" i="3"/>
  <c r="AF4" i="3"/>
  <c r="J4" i="3"/>
  <c r="I4" i="3"/>
  <c r="AF3" i="3"/>
  <c r="J3" i="3"/>
  <c r="I3" i="3"/>
  <c r="AF2" i="3"/>
  <c r="J2" i="3"/>
  <c r="I2" i="3"/>
  <c r="K733" i="2"/>
  <c r="J733" i="2"/>
  <c r="J732" i="2"/>
  <c r="J725" i="2"/>
  <c r="K709" i="2"/>
  <c r="K669" i="2"/>
  <c r="J504" i="2"/>
  <c r="J480" i="2"/>
  <c r="K474" i="2"/>
  <c r="K473" i="2"/>
  <c r="J468" i="2"/>
  <c r="K462" i="2"/>
  <c r="K461" i="2"/>
  <c r="K459" i="2"/>
  <c r="J459" i="2"/>
  <c r="J458" i="2"/>
  <c r="K455" i="2"/>
  <c r="J455" i="2"/>
  <c r="K454" i="2"/>
  <c r="J454" i="2"/>
  <c r="J453" i="2"/>
  <c r="K452" i="2"/>
  <c r="J452" i="2"/>
  <c r="K451" i="2"/>
  <c r="K450" i="2"/>
  <c r="J450" i="2"/>
  <c r="K449" i="2"/>
  <c r="J449" i="2"/>
  <c r="K448" i="2"/>
  <c r="J447" i="2"/>
  <c r="K446" i="2"/>
  <c r="J446" i="2"/>
  <c r="K445" i="2"/>
  <c r="J445" i="2"/>
  <c r="K443" i="2"/>
  <c r="J443" i="2"/>
  <c r="K442" i="2"/>
  <c r="J442" i="2"/>
  <c r="K441" i="2"/>
  <c r="J441" i="2"/>
  <c r="K440" i="2"/>
  <c r="J440" i="2"/>
  <c r="J439" i="2"/>
  <c r="K438" i="2"/>
  <c r="J438" i="2"/>
  <c r="K437" i="2"/>
  <c r="J437" i="2"/>
  <c r="K436" i="2"/>
  <c r="J436" i="2"/>
  <c r="J435" i="2"/>
  <c r="K434" i="2"/>
  <c r="K433" i="2"/>
  <c r="K432" i="2"/>
  <c r="J432" i="2"/>
  <c r="K431" i="2"/>
  <c r="J431" i="2"/>
  <c r="K430" i="2"/>
  <c r="K429" i="2"/>
  <c r="J429" i="2"/>
  <c r="K428" i="2"/>
  <c r="J428" i="2"/>
  <c r="K427" i="2"/>
  <c r="K426" i="2"/>
  <c r="J426" i="2"/>
  <c r="K424" i="2"/>
  <c r="J424" i="2"/>
  <c r="K423" i="2"/>
  <c r="J423" i="2"/>
  <c r="J422" i="2"/>
  <c r="K421" i="2"/>
  <c r="J420" i="2"/>
  <c r="K419" i="2"/>
  <c r="K418" i="2"/>
  <c r="J418" i="2"/>
  <c r="K417" i="2"/>
  <c r="J417" i="2"/>
  <c r="K416" i="2"/>
  <c r="K414" i="2"/>
  <c r="J414" i="2"/>
  <c r="K413" i="2"/>
  <c r="J413" i="2"/>
  <c r="K412" i="2"/>
  <c r="J412" i="2"/>
  <c r="K411" i="2"/>
  <c r="J411" i="2"/>
  <c r="K410" i="2"/>
  <c r="J410" i="2"/>
  <c r="K409" i="2"/>
  <c r="J409" i="2"/>
  <c r="K408" i="2"/>
  <c r="K407" i="2"/>
  <c r="J407" i="2"/>
  <c r="K406" i="2"/>
  <c r="J406" i="2"/>
  <c r="K405" i="2"/>
  <c r="J405" i="2"/>
  <c r="K404" i="2"/>
  <c r="J404" i="2"/>
  <c r="K402" i="2"/>
  <c r="J402" i="2"/>
  <c r="K400" i="2"/>
  <c r="K399" i="2"/>
  <c r="J399" i="2"/>
  <c r="K398" i="2"/>
  <c r="J398" i="2"/>
  <c r="K397" i="2"/>
  <c r="J397" i="2"/>
  <c r="K396" i="2"/>
  <c r="J396" i="2"/>
  <c r="J395" i="2"/>
  <c r="K394" i="2"/>
  <c r="J394" i="2"/>
  <c r="K393" i="2"/>
  <c r="J393" i="2"/>
  <c r="J392" i="2"/>
  <c r="K391" i="2"/>
  <c r="J391" i="2"/>
  <c r="K390" i="2"/>
  <c r="J390" i="2"/>
  <c r="J389" i="2"/>
  <c r="K388" i="2"/>
  <c r="J388" i="2"/>
  <c r="K387" i="2"/>
  <c r="J387" i="2"/>
  <c r="K386" i="2"/>
  <c r="J386" i="2"/>
  <c r="K385" i="2"/>
  <c r="J385" i="2"/>
  <c r="K383" i="2"/>
  <c r="J383" i="2"/>
  <c r="K382" i="2"/>
  <c r="J382" i="2"/>
  <c r="K381" i="2"/>
  <c r="K380" i="2"/>
  <c r="J380" i="2"/>
  <c r="K379" i="2"/>
  <c r="J379" i="2"/>
  <c r="K378" i="2"/>
  <c r="J378" i="2"/>
  <c r="K377" i="2"/>
  <c r="J377" i="2"/>
  <c r="K375" i="2"/>
  <c r="J375" i="2"/>
  <c r="K374" i="2"/>
  <c r="J374" i="2"/>
  <c r="K373" i="2"/>
  <c r="J373" i="2"/>
  <c r="K372" i="2"/>
  <c r="J372" i="2"/>
  <c r="K371" i="2"/>
  <c r="J371" i="2"/>
  <c r="K370" i="2"/>
  <c r="J370" i="2"/>
  <c r="K369" i="2"/>
  <c r="K368" i="2"/>
  <c r="J368" i="2"/>
  <c r="K367" i="2"/>
  <c r="J367" i="2"/>
  <c r="K366" i="2"/>
  <c r="J366" i="2"/>
  <c r="K365" i="2"/>
  <c r="J365" i="2"/>
  <c r="K364" i="2"/>
  <c r="J364" i="2"/>
  <c r="K363" i="2"/>
  <c r="J363" i="2"/>
  <c r="K362" i="2"/>
  <c r="J362" i="2"/>
  <c r="J361" i="2"/>
  <c r="K360" i="2"/>
  <c r="J360" i="2"/>
  <c r="K359" i="2"/>
  <c r="J359" i="2"/>
  <c r="K358" i="2"/>
  <c r="J358" i="2"/>
  <c r="J357" i="2"/>
  <c r="K356" i="2"/>
  <c r="J356" i="2"/>
  <c r="K355" i="2"/>
  <c r="J355" i="2"/>
  <c r="K354" i="2"/>
  <c r="J354" i="2"/>
  <c r="K353" i="2"/>
  <c r="J353" i="2"/>
  <c r="K352" i="2"/>
  <c r="J352" i="2"/>
  <c r="K351" i="2"/>
  <c r="J351" i="2"/>
  <c r="K350" i="2"/>
  <c r="J350" i="2"/>
  <c r="K349" i="2"/>
  <c r="J349" i="2"/>
  <c r="K347" i="2"/>
  <c r="J347" i="2"/>
  <c r="K346" i="2"/>
  <c r="J346" i="2"/>
  <c r="K345" i="2"/>
  <c r="J345" i="2"/>
  <c r="K344" i="2"/>
  <c r="K343" i="2"/>
  <c r="J343" i="2"/>
  <c r="J342" i="2"/>
  <c r="K341" i="2"/>
  <c r="J341" i="2"/>
  <c r="K340" i="2"/>
  <c r="J340" i="2"/>
  <c r="K339" i="2"/>
  <c r="J339" i="2"/>
  <c r="K338" i="2"/>
  <c r="J338" i="2"/>
  <c r="K337" i="2"/>
  <c r="J337" i="2"/>
  <c r="J336" i="2"/>
  <c r="K335" i="2"/>
  <c r="J335" i="2"/>
  <c r="J334" i="2"/>
  <c r="K333" i="2"/>
  <c r="J333" i="2"/>
  <c r="K332" i="2"/>
  <c r="J332" i="2"/>
  <c r="J331" i="2"/>
  <c r="K330" i="2"/>
  <c r="J330" i="2"/>
  <c r="K329" i="2"/>
  <c r="J329" i="2"/>
  <c r="K328" i="2"/>
  <c r="J328" i="2"/>
  <c r="K327" i="2"/>
  <c r="J327" i="2"/>
  <c r="K326" i="2"/>
  <c r="K324" i="2"/>
  <c r="K323" i="2"/>
  <c r="J323" i="2"/>
  <c r="K322" i="2"/>
  <c r="J322" i="2"/>
  <c r="K321" i="2"/>
  <c r="J321" i="2"/>
  <c r="K320" i="2"/>
  <c r="J320" i="2"/>
  <c r="K319" i="2"/>
  <c r="J319" i="2"/>
  <c r="K318" i="2"/>
  <c r="J318" i="2"/>
  <c r="K317" i="2"/>
  <c r="J317" i="2"/>
  <c r="K315" i="2"/>
  <c r="J315" i="2"/>
  <c r="K314" i="2"/>
  <c r="J314" i="2"/>
  <c r="K313" i="2"/>
  <c r="J313" i="2"/>
  <c r="K312" i="2"/>
  <c r="J312" i="2"/>
  <c r="K311" i="2"/>
  <c r="J311" i="2"/>
  <c r="J310" i="2"/>
  <c r="K309" i="2"/>
  <c r="J309" i="2"/>
  <c r="K308" i="2"/>
  <c r="J308" i="2"/>
  <c r="K307" i="2"/>
  <c r="J307" i="2"/>
  <c r="K305" i="2"/>
  <c r="J305" i="2"/>
  <c r="K304" i="2"/>
  <c r="J304" i="2"/>
  <c r="K303" i="2"/>
  <c r="J303" i="2"/>
  <c r="K302" i="2"/>
  <c r="J302" i="2"/>
  <c r="K301" i="2"/>
  <c r="J301" i="2"/>
  <c r="K300" i="2"/>
  <c r="J300" i="2"/>
  <c r="K299" i="2"/>
  <c r="J299" i="2"/>
  <c r="K298" i="2"/>
  <c r="J298" i="2"/>
  <c r="K297" i="2"/>
  <c r="J297" i="2"/>
  <c r="J296" i="2"/>
  <c r="K295" i="2"/>
  <c r="J295" i="2"/>
  <c r="K294" i="2"/>
  <c r="J294" i="2"/>
  <c r="K293" i="2"/>
  <c r="J293" i="2"/>
  <c r="J292" i="2"/>
  <c r="K291" i="2"/>
  <c r="J291" i="2"/>
  <c r="K290" i="2"/>
  <c r="J290" i="2"/>
  <c r="K289" i="2"/>
  <c r="J289" i="2"/>
  <c r="K288" i="2"/>
  <c r="J288" i="2"/>
  <c r="J287" i="2"/>
  <c r="K286" i="2"/>
  <c r="J286" i="2"/>
  <c r="K285" i="2"/>
  <c r="J285" i="2"/>
  <c r="K284" i="2"/>
  <c r="J284" i="2"/>
  <c r="K283" i="2"/>
  <c r="J283" i="2"/>
  <c r="K282" i="2"/>
  <c r="J282" i="2"/>
  <c r="K281" i="2"/>
  <c r="J281" i="2"/>
  <c r="J280" i="2"/>
  <c r="J279" i="2"/>
  <c r="K278" i="2"/>
  <c r="J278" i="2"/>
  <c r="K277" i="2"/>
  <c r="J277" i="2"/>
  <c r="K274" i="2"/>
  <c r="J274" i="2"/>
  <c r="K273" i="2"/>
  <c r="J273" i="2"/>
  <c r="K272" i="2"/>
  <c r="J272" i="2"/>
  <c r="K271" i="2"/>
  <c r="J271" i="2"/>
  <c r="K270" i="2"/>
  <c r="J270" i="2"/>
  <c r="K269" i="2"/>
  <c r="J269" i="2"/>
  <c r="K268" i="2"/>
  <c r="J268" i="2"/>
  <c r="K267" i="2"/>
  <c r="J267" i="2"/>
  <c r="K266" i="2"/>
  <c r="J266" i="2"/>
  <c r="K265" i="2"/>
  <c r="J265" i="2"/>
  <c r="K264" i="2"/>
  <c r="J264" i="2"/>
  <c r="K263" i="2"/>
  <c r="J263" i="2"/>
  <c r="K262" i="2"/>
  <c r="J262" i="2"/>
  <c r="K261" i="2"/>
  <c r="J261" i="2"/>
  <c r="K260" i="2"/>
  <c r="J260" i="2"/>
  <c r="K258" i="2"/>
  <c r="J258" i="2"/>
  <c r="K257" i="2"/>
  <c r="J257" i="2"/>
  <c r="K256" i="2"/>
  <c r="J256" i="2"/>
  <c r="J255" i="2"/>
  <c r="K253" i="2"/>
  <c r="J252" i="2"/>
  <c r="J250" i="2"/>
  <c r="K249" i="2"/>
  <c r="J249" i="2"/>
  <c r="K248" i="2"/>
  <c r="J248" i="2"/>
  <c r="K247" i="2"/>
  <c r="J247" i="2"/>
  <c r="K245" i="2"/>
  <c r="J245" i="2"/>
  <c r="J244" i="2"/>
  <c r="K243" i="2"/>
  <c r="J243" i="2"/>
  <c r="K242" i="2"/>
  <c r="J242" i="2"/>
  <c r="K241" i="2"/>
  <c r="J241" i="2"/>
  <c r="K240" i="2"/>
  <c r="J240" i="2"/>
  <c r="K239" i="2"/>
  <c r="J239" i="2"/>
  <c r="K238" i="2"/>
  <c r="J238" i="2"/>
  <c r="K237" i="2"/>
  <c r="J237" i="2"/>
  <c r="K236" i="2"/>
  <c r="K235" i="2"/>
  <c r="J235" i="2"/>
  <c r="K234" i="2"/>
  <c r="J234" i="2"/>
  <c r="J233" i="2"/>
  <c r="K232" i="2"/>
  <c r="J232" i="2"/>
  <c r="K231" i="2"/>
  <c r="J231" i="2"/>
  <c r="K230" i="2"/>
  <c r="J230" i="2"/>
  <c r="K229" i="2"/>
  <c r="J229" i="2"/>
  <c r="K227" i="2"/>
  <c r="J227" i="2"/>
  <c r="K225" i="2"/>
  <c r="J225" i="2"/>
  <c r="K224" i="2"/>
  <c r="J223" i="2"/>
  <c r="K222" i="2"/>
  <c r="J222" i="2"/>
  <c r="K221" i="2"/>
  <c r="J221" i="2"/>
  <c r="K220" i="2"/>
  <c r="J220" i="2"/>
  <c r="K219" i="2"/>
  <c r="J219" i="2"/>
  <c r="K218" i="2"/>
  <c r="J217" i="2"/>
  <c r="K216" i="2"/>
  <c r="J216" i="2"/>
  <c r="K215" i="2"/>
  <c r="J215" i="2"/>
  <c r="K214" i="2"/>
  <c r="J214" i="2"/>
  <c r="K213" i="2"/>
  <c r="J213" i="2"/>
  <c r="K212" i="2"/>
  <c r="J212" i="2"/>
  <c r="J211" i="2"/>
  <c r="J210" i="2"/>
  <c r="J209" i="2"/>
  <c r="J208" i="2"/>
  <c r="K207" i="2"/>
  <c r="J207" i="2"/>
  <c r="K205" i="2"/>
  <c r="J205" i="2"/>
  <c r="J204" i="2"/>
  <c r="J203" i="2"/>
  <c r="K202" i="2"/>
  <c r="J202" i="2"/>
  <c r="K201" i="2"/>
  <c r="J201" i="2"/>
  <c r="K200" i="2"/>
  <c r="J200" i="2"/>
  <c r="J198" i="2"/>
  <c r="K197" i="2"/>
  <c r="J197" i="2"/>
  <c r="K196" i="2"/>
  <c r="J196" i="2"/>
  <c r="K195" i="2"/>
  <c r="J195" i="2"/>
  <c r="K194" i="2"/>
  <c r="J194" i="2"/>
  <c r="K192" i="2"/>
  <c r="J192" i="2"/>
  <c r="K191" i="2"/>
  <c r="J191" i="2"/>
  <c r="K190" i="2"/>
  <c r="J190" i="2"/>
  <c r="K189" i="2"/>
  <c r="J189" i="2"/>
  <c r="K188" i="2"/>
  <c r="J188" i="2"/>
  <c r="K187" i="2"/>
  <c r="J187" i="2"/>
  <c r="K186" i="2"/>
  <c r="J186" i="2"/>
  <c r="J185" i="2"/>
  <c r="K184" i="2"/>
  <c r="J184" i="2"/>
  <c r="K183" i="2"/>
  <c r="J183" i="2"/>
  <c r="K182" i="2"/>
  <c r="J182" i="2"/>
  <c r="K181" i="2"/>
  <c r="J181" i="2"/>
  <c r="K180" i="2"/>
  <c r="J180" i="2"/>
  <c r="K179" i="2"/>
  <c r="J179" i="2"/>
  <c r="J178" i="2"/>
  <c r="K177" i="2"/>
  <c r="J177" i="2"/>
  <c r="K176" i="2"/>
  <c r="J176" i="2"/>
  <c r="J175" i="2"/>
  <c r="K174" i="2"/>
  <c r="J174" i="2"/>
  <c r="K173" i="2"/>
  <c r="J173" i="2"/>
  <c r="J172" i="2"/>
  <c r="K171" i="2"/>
  <c r="J171" i="2"/>
  <c r="K170" i="2"/>
  <c r="J170" i="2"/>
  <c r="K169" i="2"/>
  <c r="J169" i="2"/>
  <c r="K168" i="2"/>
  <c r="J168" i="2"/>
  <c r="K167" i="2"/>
  <c r="J167" i="2"/>
  <c r="K166" i="2"/>
  <c r="J166" i="2"/>
  <c r="K165" i="2"/>
  <c r="J165" i="2"/>
  <c r="K164" i="2"/>
  <c r="J164" i="2"/>
  <c r="K163" i="2"/>
  <c r="J163" i="2"/>
  <c r="J160" i="2"/>
  <c r="K159" i="2"/>
  <c r="J159" i="2"/>
  <c r="K158" i="2"/>
  <c r="J158" i="2"/>
  <c r="K157" i="2"/>
  <c r="J157" i="2"/>
  <c r="K156" i="2"/>
  <c r="J156" i="2"/>
  <c r="K155" i="2"/>
  <c r="J155" i="2"/>
  <c r="K154" i="2"/>
  <c r="J154" i="2"/>
  <c r="K153" i="2"/>
  <c r="J153" i="2"/>
  <c r="K152" i="2"/>
  <c r="J152" i="2"/>
  <c r="K151" i="2"/>
  <c r="J151" i="2"/>
  <c r="K150" i="2"/>
  <c r="J150" i="2"/>
  <c r="K149" i="2"/>
  <c r="K148" i="2"/>
  <c r="J148" i="2"/>
  <c r="K147" i="2"/>
  <c r="J147" i="2"/>
  <c r="K146" i="2"/>
  <c r="J146" i="2"/>
  <c r="K145" i="2"/>
  <c r="J145" i="2"/>
  <c r="K144" i="2"/>
  <c r="J144" i="2"/>
  <c r="K143" i="2"/>
  <c r="J143" i="2"/>
  <c r="K142" i="2"/>
  <c r="J142" i="2"/>
  <c r="K141" i="2"/>
  <c r="J141" i="2"/>
  <c r="K140" i="2"/>
  <c r="J140" i="2"/>
  <c r="K139" i="2"/>
  <c r="J139" i="2"/>
  <c r="K138" i="2"/>
  <c r="J138" i="2"/>
  <c r="K137" i="2"/>
  <c r="J137" i="2"/>
  <c r="K136" i="2"/>
  <c r="J136" i="2"/>
  <c r="K135" i="2"/>
  <c r="J135" i="2"/>
  <c r="J133" i="2"/>
  <c r="K132" i="2"/>
  <c r="J132" i="2"/>
  <c r="J131" i="2"/>
  <c r="J130" i="2"/>
  <c r="K129" i="2"/>
  <c r="J129" i="2"/>
  <c r="K128" i="2"/>
  <c r="J128" i="2"/>
  <c r="K127" i="2"/>
  <c r="J127" i="2"/>
  <c r="K126" i="2"/>
  <c r="J126" i="2"/>
  <c r="K125" i="2"/>
  <c r="J125" i="2"/>
  <c r="K124" i="2"/>
  <c r="J124" i="2"/>
  <c r="K123" i="2"/>
  <c r="J123" i="2"/>
  <c r="K122" i="2"/>
  <c r="J122" i="2"/>
  <c r="K121" i="2"/>
  <c r="J121" i="2"/>
  <c r="K120" i="2"/>
  <c r="J120" i="2"/>
  <c r="J119" i="2"/>
  <c r="K118" i="2"/>
  <c r="J118" i="2"/>
  <c r="K117" i="2"/>
  <c r="J117" i="2"/>
  <c r="K116" i="2"/>
  <c r="J116" i="2"/>
  <c r="K115" i="2"/>
  <c r="J115" i="2"/>
  <c r="K114" i="2"/>
  <c r="J114" i="2"/>
  <c r="K113" i="2"/>
  <c r="J113" i="2"/>
  <c r="K112" i="2"/>
  <c r="J112" i="2"/>
  <c r="K111" i="2"/>
  <c r="J111" i="2"/>
  <c r="K110" i="2"/>
  <c r="J110" i="2"/>
  <c r="K109" i="2"/>
  <c r="J109" i="2"/>
  <c r="K107" i="2"/>
  <c r="J107" i="2"/>
  <c r="J106" i="2"/>
  <c r="K104" i="2"/>
  <c r="J104" i="2"/>
  <c r="K103" i="2"/>
  <c r="J103" i="2"/>
  <c r="K102" i="2"/>
  <c r="J102" i="2"/>
  <c r="K101" i="2"/>
  <c r="J101" i="2"/>
  <c r="K100" i="2"/>
  <c r="J100" i="2"/>
  <c r="K99" i="2"/>
  <c r="J99" i="2"/>
  <c r="K97" i="2"/>
  <c r="J97" i="2"/>
  <c r="K96" i="2"/>
  <c r="J96" i="2"/>
  <c r="K95" i="2"/>
  <c r="K94" i="2"/>
  <c r="J94" i="2"/>
  <c r="K93" i="2"/>
  <c r="J93" i="2"/>
  <c r="K92" i="2"/>
  <c r="J92" i="2"/>
  <c r="K91" i="2"/>
  <c r="J91" i="2"/>
  <c r="K90" i="2"/>
  <c r="J90" i="2"/>
  <c r="K89" i="2"/>
  <c r="J89" i="2"/>
  <c r="K88" i="2"/>
  <c r="J88" i="2"/>
  <c r="K87" i="2"/>
  <c r="J87" i="2"/>
  <c r="K86" i="2"/>
  <c r="J86" i="2"/>
  <c r="K85" i="2"/>
  <c r="J84" i="2"/>
  <c r="K83" i="2"/>
  <c r="J83" i="2"/>
  <c r="K81" i="2"/>
  <c r="J81" i="2"/>
  <c r="K80" i="2"/>
  <c r="J80" i="2"/>
  <c r="K79" i="2"/>
  <c r="J79" i="2"/>
  <c r="K78" i="2"/>
  <c r="J78" i="2"/>
  <c r="K77" i="2"/>
  <c r="J77" i="2"/>
  <c r="K76" i="2"/>
  <c r="J76" i="2"/>
  <c r="J73" i="2"/>
  <c r="K72" i="2"/>
  <c r="J72" i="2"/>
  <c r="K71" i="2"/>
  <c r="K69" i="2"/>
  <c r="J69" i="2"/>
  <c r="J67" i="2"/>
  <c r="K66" i="2"/>
  <c r="J66" i="2"/>
  <c r="K65" i="2"/>
  <c r="J65" i="2"/>
  <c r="K64" i="2"/>
  <c r="J64" i="2"/>
  <c r="K63" i="2"/>
  <c r="J63" i="2"/>
  <c r="K62" i="2"/>
  <c r="J62" i="2"/>
  <c r="K61" i="2"/>
  <c r="J61" i="2"/>
  <c r="J60" i="2"/>
  <c r="K59" i="2"/>
  <c r="J59" i="2"/>
  <c r="K58" i="2"/>
  <c r="J58" i="2"/>
  <c r="K57" i="2"/>
  <c r="J57" i="2"/>
  <c r="J56" i="2"/>
  <c r="K54" i="2"/>
  <c r="J54" i="2"/>
  <c r="K53" i="2"/>
  <c r="J53" i="2"/>
  <c r="K52" i="2"/>
  <c r="J52" i="2"/>
  <c r="K51" i="2"/>
  <c r="J51" i="2"/>
  <c r="K50" i="2"/>
  <c r="J50" i="2"/>
  <c r="K49" i="2"/>
  <c r="J49" i="2"/>
  <c r="K48" i="2"/>
  <c r="J48" i="2"/>
  <c r="K47" i="2"/>
  <c r="J47" i="2"/>
  <c r="K46" i="2"/>
  <c r="J46" i="2"/>
  <c r="J44" i="2"/>
  <c r="K43" i="2"/>
  <c r="J43" i="2"/>
  <c r="K42" i="2"/>
  <c r="J42" i="2"/>
  <c r="K41" i="2"/>
  <c r="J41" i="2"/>
  <c r="J40" i="2"/>
  <c r="K39" i="2"/>
  <c r="J39" i="2"/>
  <c r="K37" i="2"/>
  <c r="J37" i="2"/>
  <c r="K36" i="2"/>
  <c r="J36" i="2"/>
  <c r="K35" i="2"/>
  <c r="J35" i="2"/>
  <c r="J34" i="2"/>
  <c r="K32" i="2"/>
  <c r="K31" i="2"/>
  <c r="J31" i="2"/>
  <c r="K30" i="2"/>
  <c r="J30" i="2"/>
  <c r="J29" i="2"/>
  <c r="K28" i="2"/>
  <c r="J28" i="2"/>
  <c r="K27" i="2"/>
  <c r="J27" i="2"/>
  <c r="K26" i="2"/>
  <c r="J26" i="2"/>
  <c r="J25" i="2"/>
  <c r="K24" i="2"/>
  <c r="J24" i="2"/>
  <c r="K22" i="2"/>
  <c r="J22" i="2"/>
  <c r="K21" i="2"/>
  <c r="J21" i="2"/>
  <c r="K20" i="2"/>
  <c r="J20" i="2"/>
  <c r="J19" i="2"/>
  <c r="K17" i="2"/>
  <c r="J17" i="2"/>
  <c r="K16" i="2"/>
  <c r="J16" i="2"/>
  <c r="K15" i="2"/>
  <c r="J15" i="2"/>
  <c r="J14" i="2"/>
  <c r="K13" i="2"/>
  <c r="J13" i="2"/>
  <c r="J12" i="2"/>
  <c r="K11" i="2"/>
  <c r="J11" i="2"/>
  <c r="K10" i="2"/>
  <c r="J10" i="2"/>
  <c r="K9" i="2"/>
  <c r="J9" i="2"/>
  <c r="K5" i="2"/>
  <c r="J5" i="2"/>
  <c r="K4" i="2"/>
  <c r="J4" i="2"/>
  <c r="K3" i="2"/>
  <c r="J3" i="2"/>
  <c r="K2" i="2"/>
  <c r="J2" i="2"/>
</calcChain>
</file>

<file path=xl/sharedStrings.xml><?xml version="1.0" encoding="utf-8"?>
<sst xmlns="http://schemas.openxmlformats.org/spreadsheetml/2006/main" count="22599" uniqueCount="8015">
  <si>
    <t>PORADI</t>
  </si>
  <si>
    <t>Shortlist</t>
  </si>
  <si>
    <t>NAZEV</t>
  </si>
  <si>
    <t>NAZEV CELY</t>
  </si>
  <si>
    <t>PIVOVAR</t>
  </si>
  <si>
    <t>OBEC</t>
  </si>
  <si>
    <t>ADRESA</t>
  </si>
  <si>
    <t>STAT</t>
  </si>
  <si>
    <t>STATUS</t>
  </si>
  <si>
    <t>ROK</t>
  </si>
  <si>
    <t>VYSTAV</t>
  </si>
  <si>
    <t>WWW</t>
  </si>
  <si>
    <t>FB</t>
  </si>
  <si>
    <t>LOGO</t>
  </si>
  <si>
    <t>SKUPINA</t>
  </si>
  <si>
    <t>VLASTNIK</t>
  </si>
  <si>
    <t>POZNAMKA</t>
  </si>
  <si>
    <t>PIVO</t>
  </si>
  <si>
    <t>FOTO</t>
  </si>
  <si>
    <t>GPS</t>
  </si>
  <si>
    <t>Y</t>
  </si>
  <si>
    <t>X</t>
  </si>
  <si>
    <t>Zbynek</t>
  </si>
  <si>
    <t>KRAJ</t>
  </si>
  <si>
    <t>OKRES</t>
  </si>
  <si>
    <t>ORP</t>
  </si>
  <si>
    <t>PIVOVARKA</t>
  </si>
  <si>
    <t>Pivovar (Brewery)</t>
  </si>
  <si>
    <t>Zbynek 2017</t>
  </si>
  <si>
    <t>zbynek celkem</t>
  </si>
  <si>
    <t>Minipivovárci</t>
  </si>
  <si>
    <t>Bašta</t>
  </si>
  <si>
    <t>Sousedský pivovar Bašta</t>
  </si>
  <si>
    <t>Praha - Nusle</t>
  </si>
  <si>
    <t>Táborská 49, Praha 4 - Nusle</t>
  </si>
  <si>
    <t>Frýdlant</t>
  </si>
  <si>
    <t>Zámecký pivovar Frýdlant</t>
  </si>
  <si>
    <t>Hejnická 4073, Frýdlant</t>
  </si>
  <si>
    <t>minipivovar s výčepem</t>
  </si>
  <si>
    <t>Czechia</t>
  </si>
  <si>
    <t>restaurační pivovar (brewpub)</t>
  </si>
  <si>
    <t>https://goo.gl/bGyaFG</t>
  </si>
  <si>
    <t>TERRA FELIX s.r.o.</t>
  </si>
  <si>
    <t>Albrecht, Eusebius, Melchior</t>
  </si>
  <si>
    <t>Pivovarský klub</t>
  </si>
  <si>
    <t>https://flic.kr/s/aHsmih7Qki</t>
  </si>
  <si>
    <t>N 50°54.88013'. E 15°5.21468'</t>
  </si>
  <si>
    <t>ANO</t>
  </si>
  <si>
    <t>https://goo.gl/fHxdCZ</t>
  </si>
  <si>
    <t>Bašta a spol., s.r.o.</t>
  </si>
  <si>
    <t>Rotující pípy s belgickými pivy; U Bansethů bez minipiva</t>
  </si>
  <si>
    <t>N 50°3.77400'. E 14°26.39377'</t>
  </si>
  <si>
    <t>YES</t>
  </si>
  <si>
    <t>Antoš</t>
  </si>
  <si>
    <t>Pivovar Antoš</t>
  </si>
  <si>
    <t>Slaný</t>
  </si>
  <si>
    <t>Pražská 1847, Slaný</t>
  </si>
  <si>
    <t>minipivovar</t>
  </si>
  <si>
    <t>Hlavní město Praha</t>
  </si>
  <si>
    <t>Praha</t>
  </si>
  <si>
    <t>minipivovar s výčepem (craftbrewery with a bar)</t>
  </si>
  <si>
    <t>https://goo.gl/C4esno</t>
  </si>
  <si>
    <t>Golem Slaný, s.r.o.</t>
  </si>
  <si>
    <t>Antošův, Cosa Nostra, Černé Poupě, Golem, Nezmar, Slánský Rarach, Sv. Gothard, Tlustý netopýr, Zlatý Kozák</t>
  </si>
  <si>
    <t>N 50°13.53843' E 14°6.30807'</t>
  </si>
  <si>
    <t>Antošova krčma</t>
  </si>
  <si>
    <t>Antošova krčma s pivovarem</t>
  </si>
  <si>
    <t>Liberecký kraj</t>
  </si>
  <si>
    <t>Liberec</t>
  </si>
  <si>
    <t>minipivovar (craftbrewery)</t>
  </si>
  <si>
    <t>Vinařického 14/10, Slaný</t>
  </si>
  <si>
    <t>Středočeský kraj</t>
  </si>
  <si>
    <t>Kladno</t>
  </si>
  <si>
    <t>restaurační pivovar</t>
  </si>
  <si>
    <t>Bakalář</t>
  </si>
  <si>
    <t>Pivovar Bakalář</t>
  </si>
  <si>
    <t>Rakovník</t>
  </si>
  <si>
    <t>Havlíčkova 69, Rakovník</t>
  </si>
  <si>
    <t>průmyslový pivovar (industrial brewery)</t>
  </si>
  <si>
    <t>https://www.facebook.com/media/set/?set=a.366942153442832.1073741857.282498931887155&amp;type=1&amp;l=2d5c64e1bd</t>
  </si>
  <si>
    <t>https://goo.gl/NNQb6s</t>
  </si>
  <si>
    <t>N 50°13.79997'. E 14°5.31537'</t>
  </si>
  <si>
    <t>Tradiční pivovar v Rakovníku, a.s.</t>
  </si>
  <si>
    <t>Bakalář, Černovar, Pražačka, Rakovar</t>
  </si>
  <si>
    <t>N 50°6.38690'. E 13°43.65747'</t>
  </si>
  <si>
    <t>Balkán</t>
  </si>
  <si>
    <t>Rodinný pivovar Balkán</t>
  </si>
  <si>
    <t>Uherský Brod</t>
  </si>
  <si>
    <t>Na Dlouhých 218, Uherský Brod</t>
  </si>
  <si>
    <t>uzavřený pivovar (closed brewery)</t>
  </si>
  <si>
    <t>1998 / 2013</t>
  </si>
  <si>
    <t>průmyslový pivovar</t>
  </si>
  <si>
    <t>https://goo.gl/EJ6UDe</t>
  </si>
  <si>
    <t>Nástupcem je pivovar Hrádek (Slavičín)</t>
  </si>
  <si>
    <t>Zlatý Havran</t>
  </si>
  <si>
    <t>https://flic.kr/s/aHskur8MoZ</t>
  </si>
  <si>
    <t>N 49°1.68147'. E 17°38.57945'</t>
  </si>
  <si>
    <t>Zlínský kraj</t>
  </si>
  <si>
    <t>Uherské Hradiště</t>
  </si>
  <si>
    <t>Hospoda (Pub)</t>
  </si>
  <si>
    <t>Sladovna</t>
  </si>
  <si>
    <t>Cvikov</t>
  </si>
  <si>
    <t>Pivovarská 405, Cvikov - Cvikov II</t>
  </si>
  <si>
    <t>pivovarská hospoda (pub from craftbrewery)</t>
  </si>
  <si>
    <t>http://pivovarcvikov.cz</t>
  </si>
  <si>
    <t>https://www.facebook.com/pivovarcvikov</t>
  </si>
  <si>
    <t>https://goo.gl/fDiy3Q</t>
  </si>
  <si>
    <t>N 50°46.61962', E 14°38.53585'</t>
  </si>
  <si>
    <t>Česká Lípa</t>
  </si>
  <si>
    <t>Nový Bor</t>
  </si>
  <si>
    <t>Kurnik Šopa Hospoda</t>
  </si>
  <si>
    <t>Ostrava - Poruba</t>
  </si>
  <si>
    <t>Pavlouskova 4457/24, Ostrava - Poruba</t>
  </si>
  <si>
    <t>uzavřený pivovar</t>
  </si>
  <si>
    <t>multipípa (multitap)</t>
  </si>
  <si>
    <t>http://www.kurniksopahospoda.cz/</t>
  </si>
  <si>
    <t>https://www.facebook.com/kurniksopahospoda</t>
  </si>
  <si>
    <t>https://goo.gl/USxZh5</t>
  </si>
  <si>
    <t>multipípa; pivotéka</t>
  </si>
  <si>
    <t>various</t>
  </si>
  <si>
    <t>N 49°50.341' E 18°9.801'</t>
  </si>
  <si>
    <t>Moravskoslezský kraj</t>
  </si>
  <si>
    <t>Ostrava-město</t>
  </si>
  <si>
    <t>Ostrava</t>
  </si>
  <si>
    <t>Dziupla</t>
  </si>
  <si>
    <t>Albrechtický</t>
  </si>
  <si>
    <t>Český Těšín</t>
  </si>
  <si>
    <t>Střelniční 209/28, Český Těšín</t>
  </si>
  <si>
    <t>http://www.dziupla.cz</t>
  </si>
  <si>
    <t>https://www.facebook.com/dziupla</t>
  </si>
  <si>
    <t>https://goo.gl/K6dfTh</t>
  </si>
  <si>
    <t>N 49°44.60425'. E 18°37.45035'</t>
  </si>
  <si>
    <t>Karviná</t>
  </si>
  <si>
    <t>Pivovarský hostinec Rebel</t>
  </si>
  <si>
    <t>Energon</t>
  </si>
  <si>
    <t>Havlíčkův Brod</t>
  </si>
  <si>
    <t>Pivovar ENERGON</t>
  </si>
  <si>
    <t>Dobrovského 2027, Havlíčkův Brod</t>
  </si>
  <si>
    <t>Obořiště</t>
  </si>
  <si>
    <t>Obořiště 53, Obořiště</t>
  </si>
  <si>
    <t>http://www.hostinecrebel.cz</t>
  </si>
  <si>
    <t>https://www.facebook.com/hostinecrebel</t>
  </si>
  <si>
    <t>https://goo.gl/PDYi6y</t>
  </si>
  <si>
    <t>N 49°36.61350'. E 15°34.66638'</t>
  </si>
  <si>
    <t>Kraj Vysočina</t>
  </si>
  <si>
    <t>Avilys</t>
  </si>
  <si>
    <t>Restoranas-alaus darykla AVILYS</t>
  </si>
  <si>
    <t>Kaunas</t>
  </si>
  <si>
    <t>Vilniaus g. 34, Kaunas</t>
  </si>
  <si>
    <t>http://avilys.lt</t>
  </si>
  <si>
    <t>https://www.facebook.com/restoranasavilys</t>
  </si>
  <si>
    <t>https://goo.gl/feix9z</t>
  </si>
  <si>
    <t>https://goo.gl/kBZGTS</t>
  </si>
  <si>
    <t>Energon s.r.o.</t>
  </si>
  <si>
    <t>Baštýř</t>
  </si>
  <si>
    <t>N 49°44.98868'. E 14°8.58662'</t>
  </si>
  <si>
    <t>https://flic.kr/s/aHskvTLms8</t>
  </si>
  <si>
    <t>N 54°53.78258', E 23°53.55388'</t>
  </si>
  <si>
    <t>U Hušků</t>
  </si>
  <si>
    <t>Pivovar U Hušků</t>
  </si>
  <si>
    <t>Běleč nad Orlicí</t>
  </si>
  <si>
    <t>Běleč nad Orlicí 58, Běleč nad Orlicí</t>
  </si>
  <si>
    <t>https://goo.gl/yBYAQr</t>
  </si>
  <si>
    <t>Hospoda u Hušků s.r.o.</t>
  </si>
  <si>
    <t>Car, Carevna, Včelka</t>
  </si>
  <si>
    <t>N 50°11.83243'. E 15°56.51387'</t>
  </si>
  <si>
    <t>Belveder</t>
  </si>
  <si>
    <t>Pivovar Belveder</t>
  </si>
  <si>
    <t>Železná Ruda</t>
  </si>
  <si>
    <t xml:space="preserve">Železná Ruda 189, Železná Ruda </t>
  </si>
  <si>
    <t>https://goo.gl/CgGNFr</t>
  </si>
  <si>
    <t>Hotel a Pivovar Belveder Železná Ruda s.r.o.</t>
  </si>
  <si>
    <t>Belgrad, Belveder, Gradl, Kat, Kojenec, Pašerák, Švejk</t>
  </si>
  <si>
    <t>N 49°8.58822'. E 13°14.37010'</t>
  </si>
  <si>
    <t>Bernard</t>
  </si>
  <si>
    <t>Rodinný pivovar Bernard</t>
  </si>
  <si>
    <t>Humpolec</t>
  </si>
  <si>
    <t>5. května 1, Humpolec</t>
  </si>
  <si>
    <t>https://goo.gl/TFmpNQ</t>
  </si>
  <si>
    <t>Rodinný pivovar Bernard a.s.</t>
  </si>
  <si>
    <t>N 49°32.40670'. E 15°21.59802'</t>
  </si>
  <si>
    <t>Berounský medvěd</t>
  </si>
  <si>
    <t>Rodinný pivovar Berounský medvěd</t>
  </si>
  <si>
    <t>Beroun</t>
  </si>
  <si>
    <t>Tyršova 135, Beroun</t>
  </si>
  <si>
    <t>https://goo.gl/ozBzoh</t>
  </si>
  <si>
    <t>Hana Mayerová</t>
  </si>
  <si>
    <t>Berounský medvěd, Cyklopivo, Grizzly, Honzovo medové, Klepáček, Lord, Zlatý kůň</t>
  </si>
  <si>
    <t>Cyklopivo, Grizzly, Lord, Medový Medvěd, Zlatý kůň</t>
  </si>
  <si>
    <t>https://www.facebook.com/media/set/?set=a.345930248877356.1073741853.282498931887155&amp;type=1&amp;l=de072f78de</t>
  </si>
  <si>
    <t>N 49°57.40367'. E 14°4.31357'</t>
  </si>
  <si>
    <t>Beskydský</t>
  </si>
  <si>
    <t>Beskydský pivovárek</t>
  </si>
  <si>
    <t>Ostravice</t>
  </si>
  <si>
    <t>Ostravice 449, Ostravice</t>
  </si>
  <si>
    <t>Příbram</t>
  </si>
  <si>
    <t>Dobříš</t>
  </si>
  <si>
    <t>https://goo.gl/ZagdJ6</t>
  </si>
  <si>
    <t>Beskydský pivovárek, s.r.o.</t>
  </si>
  <si>
    <t>Abel Tasman, Beskydský, Double Elephant, James Cook, Lissa huera, Smrkáč, Summer Day, Victorie, Zbuj (Beskydian bandit)</t>
  </si>
  <si>
    <t>https://flic.kr/s/aHsmgXPk2s</t>
  </si>
  <si>
    <t>N 49°31.92337'. E 18°23.69580'</t>
  </si>
  <si>
    <t>https://goo.gl/d5QB3t</t>
  </si>
  <si>
    <t>Beznoska</t>
  </si>
  <si>
    <t>Minipivovar Beznoska</t>
  </si>
  <si>
    <t>Praha - Prosek</t>
  </si>
  <si>
    <t xml:space="preserve">Klíčovská 805/11, Praha 9 - Prosek </t>
  </si>
  <si>
    <t>Královéhradecký kraj</t>
  </si>
  <si>
    <t>Hradec Králové</t>
  </si>
  <si>
    <t>https://goo.gl/Q6LVt2</t>
  </si>
  <si>
    <t>Restaurace a pivovar Školička</t>
  </si>
  <si>
    <t>Bejl, Belma, Beznoska, Cittový Sosáček, Cykloejl, Čertik Bertik, GamBez, Hejhula, Kafař, Klíčák, Koloušek, Likvidátor, MagBez, Sedmý smysl, Uzený knír, Vídeňák</t>
  </si>
  <si>
    <t>Školička</t>
  </si>
  <si>
    <t>N 50°7.05787'. E 14°30.42847'</t>
  </si>
  <si>
    <t>Zašová</t>
  </si>
  <si>
    <t>Pivovar Zašová</t>
  </si>
  <si>
    <t>Zašová 98, Zašová</t>
  </si>
  <si>
    <t>Plzeňský kraj</t>
  </si>
  <si>
    <t>Klatovy</t>
  </si>
  <si>
    <t>https://goo.gl/Aj5Dcd</t>
  </si>
  <si>
    <t>(Bonver CZ, s.r.o.)</t>
  </si>
  <si>
    <t>Nástupce pivovaru "Valašský pivovar BON Zašová"</t>
  </si>
  <si>
    <t>(Bon), Portáš</t>
  </si>
  <si>
    <t>https://flic.kr/s/aHskufKEcZ</t>
  </si>
  <si>
    <t>N 49°28.41827'. E 18°2.77570'</t>
  </si>
  <si>
    <t>U Bezoušků</t>
  </si>
  <si>
    <t>Rodinný pivovar U Bezoušků</t>
  </si>
  <si>
    <t>Pelhřimov</t>
  </si>
  <si>
    <t>Průhonice</t>
  </si>
  <si>
    <t>Květnové náměstí 5, Průhonice</t>
  </si>
  <si>
    <t>http://www.ubezousku.cz</t>
  </si>
  <si>
    <t>https://goo.gl/syQjmF</t>
  </si>
  <si>
    <t>Coloseum Restaurants s.r.o.</t>
  </si>
  <si>
    <t>Bezouškovská</t>
  </si>
  <si>
    <t>https://www.facebook.com/media/set/?set=a.406423616161352.1073741860.282498931887155&amp;type=1&amp;l=5f1eabe5f1</t>
  </si>
  <si>
    <t>N 50°0.09012'. E 14°33.64848'</t>
  </si>
  <si>
    <t>https://www.facebook.com/Rodinný-pivovar-Berounský-medvěd-1548273045399539</t>
  </si>
  <si>
    <t>Brabčák</t>
  </si>
  <si>
    <t>Minipivovar Brabčák</t>
  </si>
  <si>
    <t>Vratimov</t>
  </si>
  <si>
    <t>K Sokolovně 183/3, Vratimov</t>
  </si>
  <si>
    <t>https://www.facebook.com/lukas.brabec.543</t>
  </si>
  <si>
    <t>https://goo.gl/dgipVu</t>
  </si>
  <si>
    <t>Hostinec Ve Dvoře s.r.o.</t>
  </si>
  <si>
    <t>Hostinec Ve Dvoře</t>
  </si>
  <si>
    <t>https://flic.kr/s/aHskui4PGn</t>
  </si>
  <si>
    <t>N 49°46.36752'. E 18°18.39067'</t>
  </si>
  <si>
    <t>Kolštejn</t>
  </si>
  <si>
    <t>Minipivovar Kolštejn</t>
  </si>
  <si>
    <t>Branná</t>
  </si>
  <si>
    <t>Branná 56, Branná</t>
  </si>
  <si>
    <t>https://goo.gl/D13Sjy</t>
  </si>
  <si>
    <t>TOMA Olomouc, a.s.</t>
  </si>
  <si>
    <t>Bran, Dolmen, Menhir, Parus, Raven, Vogtey</t>
  </si>
  <si>
    <t>https://flic.kr/s/aHsmb9Hj6G</t>
  </si>
  <si>
    <t>N 50°9.15433'. E 17°0.65928'</t>
  </si>
  <si>
    <t>Břeclav</t>
  </si>
  <si>
    <t>Zámecký pivovar Břeclav</t>
  </si>
  <si>
    <t>Pod Zámkem 625/8, Břeclav</t>
  </si>
  <si>
    <t>Frýdek-Místek</t>
  </si>
  <si>
    <t>Frýdlant nad Ostravicí</t>
  </si>
  <si>
    <t>https://goo.gl/ikZ1JE</t>
  </si>
  <si>
    <t>Zámecký pivovar Břeclav s.r.o.</t>
  </si>
  <si>
    <t>Letní výčep před pivovarem</t>
  </si>
  <si>
    <t>Beran, Delegát, Kanec, Pivín, Podlužan</t>
  </si>
  <si>
    <t>N 48°45.65718'. E 16°52.50600'</t>
  </si>
  <si>
    <t>Břevnovský</t>
  </si>
  <si>
    <t>Břevnovský klášterní pivovar sv. Vojtěcha</t>
  </si>
  <si>
    <t>Praha - Břevnov</t>
  </si>
  <si>
    <t>Markétská 1/28, Praha - Břevnov</t>
  </si>
  <si>
    <t>https://goo.gl/iY32NX</t>
  </si>
  <si>
    <t>Břevnovský pivovar sv.Vojtěcha a.s.</t>
  </si>
  <si>
    <t>Benedict, Gočár, Karel Egon II., Kotěra, Ovčár</t>
  </si>
  <si>
    <t>N 50°5.05158'. E 14°21.45698'</t>
  </si>
  <si>
    <t>Braník</t>
  </si>
  <si>
    <t>Pivovar Braník</t>
  </si>
  <si>
    <t>Praha - Braník</t>
  </si>
  <si>
    <t>Údolní 212, Praha 4 - Braník</t>
  </si>
  <si>
    <t>http://www.staropramen.cz</t>
  </si>
  <si>
    <t>https://goo.gl/NyXAcH</t>
  </si>
  <si>
    <t>Molson Coors Central Europe</t>
  </si>
  <si>
    <t>Pivovary Staropramen a.s.</t>
  </si>
  <si>
    <t>Vaří se v pivovaru Staropramen</t>
  </si>
  <si>
    <t>N 50°1.76742'. E 14°24.61602'</t>
  </si>
  <si>
    <t>Velké Březno</t>
  </si>
  <si>
    <t>Pivovar Velké Březno</t>
  </si>
  <si>
    <t>Pivovarská 116, Velké Březno</t>
  </si>
  <si>
    <t>Vsetín</t>
  </si>
  <si>
    <t>Valašské Meziříčí</t>
  </si>
  <si>
    <t>1994 / 2014</t>
  </si>
  <si>
    <t>https://goo.gl/AzaEHg</t>
  </si>
  <si>
    <t>Heineken</t>
  </si>
  <si>
    <t>Heineken ČR, a.s.</t>
  </si>
  <si>
    <t>Březňák, Dačický, Louny, Zlatopramen</t>
  </si>
  <si>
    <t>N 50°39.87888'. E 14°8.33610'</t>
  </si>
  <si>
    <t>Praha-západ</t>
  </si>
  <si>
    <t>Černošice</t>
  </si>
  <si>
    <t>Budějovický Budvar</t>
  </si>
  <si>
    <t>České Budějovice</t>
  </si>
  <si>
    <t>K. Světlé 512/4, České Budějovice</t>
  </si>
  <si>
    <t>https://goo.gl/ZUT78A</t>
  </si>
  <si>
    <t>ČR - Budějovický Budvar, n.p.</t>
  </si>
  <si>
    <t>Budvar B, Budweiser Budvar, Pardál</t>
  </si>
  <si>
    <t>N 48°59.61410'. E 14°28.57028'</t>
  </si>
  <si>
    <t>Černá Hora</t>
  </si>
  <si>
    <t>Pivovar Černá Hora</t>
  </si>
  <si>
    <t>nám. U Pivovaru 3, Černá Hora</t>
  </si>
  <si>
    <t>https://goo.gl/T8zkvN</t>
  </si>
  <si>
    <t>Pivovary Lobkowicz</t>
  </si>
  <si>
    <t>Pivovary Lobkowicz, a.s.</t>
  </si>
  <si>
    <t>Forman, Granát, Kamelot, Kern, Kvasar, Matouš, Páter, Pepova 11, Tas, Velen, Velikonoční Krasličák</t>
  </si>
  <si>
    <t>N 49°24.88603'. E 16°34.89927'</t>
  </si>
  <si>
    <t>Olomoucký kraj</t>
  </si>
  <si>
    <t>Šumperk</t>
  </si>
  <si>
    <t>Černý orel</t>
  </si>
  <si>
    <t>Pivovar Černý orel</t>
  </si>
  <si>
    <t>Kroměříž</t>
  </si>
  <si>
    <t>Velké náměstí 24/9, Kroměříž</t>
  </si>
  <si>
    <t>https://goo.gl/kVNjV5</t>
  </si>
  <si>
    <t>ČERNÝ OREL pivovar s.r.o.</t>
  </si>
  <si>
    <t>N 49°17.90413'. E 17°23.53998'</t>
  </si>
  <si>
    <t>Bizon</t>
  </si>
  <si>
    <t>Pivovar Bizon</t>
  </si>
  <si>
    <t>Čižice</t>
  </si>
  <si>
    <t>Čižice 76, Čižice</t>
  </si>
  <si>
    <t>Jihomoravský kraj</t>
  </si>
  <si>
    <t>https://goo.gl/SArDvF</t>
  </si>
  <si>
    <t>Robert Beneš</t>
  </si>
  <si>
    <t>Aparát, Bizon, Buližník, Černá paní, Hrobník, Kameník, Karolína Světlá, Klíšťák, Mnich, Půta Švihovský, Zlaťák</t>
  </si>
  <si>
    <t>U Bizona</t>
  </si>
  <si>
    <t>N 49°38.98347'. E 13°23.95292'</t>
  </si>
  <si>
    <t>Kutná Hora</t>
  </si>
  <si>
    <t>Měšťanský pivovar Kutná Hora</t>
  </si>
  <si>
    <t>U Lorce 11, Kutná Hora - Šipší</t>
  </si>
  <si>
    <t>https://goo.gl/zMEsCx</t>
  </si>
  <si>
    <t>REAL Estate, a. s.</t>
  </si>
  <si>
    <t>1899 / 2007</t>
  </si>
  <si>
    <t>Bronzová, Stříbrná, Zlatá</t>
  </si>
  <si>
    <t>N 49°57.40200'. E 15°16.25500'</t>
  </si>
  <si>
    <t>Dalešice</t>
  </si>
  <si>
    <t>Pivovar Dalešice</t>
  </si>
  <si>
    <t>Dalešice 71, Dalešice</t>
  </si>
  <si>
    <t>https://goo.gl/7DF9WP</t>
  </si>
  <si>
    <t>Akciový pivovar Dalešice a.s.</t>
  </si>
  <si>
    <t>Dalešická, Dalešické májové, Dreher, Fledermaus, Kouřící králík, MedMen, Osvald</t>
  </si>
  <si>
    <t>N 49°7.85280'. E 16°4.79363'</t>
  </si>
  <si>
    <t>Dětenice</t>
  </si>
  <si>
    <t>Zámecký pivovar Dětenice</t>
  </si>
  <si>
    <t>Dětenice 1, Dětenice</t>
  </si>
  <si>
    <t>https://goo.gl/nXv9Sb</t>
  </si>
  <si>
    <t>Zámecký resort Dětenice</t>
  </si>
  <si>
    <t>Dětenické</t>
  </si>
  <si>
    <t>N 50°22.13802'. E 15°10.28993'</t>
  </si>
  <si>
    <t>Ústecký kraj</t>
  </si>
  <si>
    <t>Ústí nad Labem</t>
  </si>
  <si>
    <t>Modrá Hvězda</t>
  </si>
  <si>
    <t>Pivovar Modrá Hvězda</t>
  </si>
  <si>
    <t>Dobřany</t>
  </si>
  <si>
    <t>náměstí T. G. Masaryka 159, Dobřany</t>
  </si>
  <si>
    <t>http://pivovarmodrahvezda.cz</t>
  </si>
  <si>
    <t>https://goo.gl/jPoeUx</t>
  </si>
  <si>
    <t>Pivovar-restaurant Modrá hvězda s.r.o.</t>
  </si>
  <si>
    <t>Anděl, Dobřanské, Dobřanská Hvězda, Dragoun, Sekáč</t>
  </si>
  <si>
    <t>N 49°39.32565'. E 13°17.40492'</t>
  </si>
  <si>
    <t>https://www.facebook.com/BudejovickyBudvar</t>
  </si>
  <si>
    <t>Pivovar Kutná Hora</t>
  </si>
  <si>
    <t>https://goo.gl/wJcYNb</t>
  </si>
  <si>
    <t>Dačický, Lorec</t>
  </si>
  <si>
    <t>N 49°57.40488'. E 15°16.25790'</t>
  </si>
  <si>
    <t>Jihočeský kraj</t>
  </si>
  <si>
    <t>Dudák</t>
  </si>
  <si>
    <t>Dudák - Měšťanský pivovar Strakonice</t>
  </si>
  <si>
    <t>Strakonice</t>
  </si>
  <si>
    <t>Podskalská 324, Strakonice</t>
  </si>
  <si>
    <t>https://www.facebook.com/dudak.strakonice</t>
  </si>
  <si>
    <t>https://goo.gl/RrXWiK</t>
  </si>
  <si>
    <t>DUDÁK-Měšťanský pivovar Strakonice a.s.</t>
  </si>
  <si>
    <t>Blateňák, Dudák, Klostermann, Královák, Král Šumavy, Nektar, Otavský zlatý, Sklepák, Švanda, Velkopřevor</t>
  </si>
  <si>
    <t>N 49°15.57503'. E 13°53.85078'</t>
  </si>
  <si>
    <t>Blansko</t>
  </si>
  <si>
    <t>Excelent</t>
  </si>
  <si>
    <t>Hostinský pivovar Excelent</t>
  </si>
  <si>
    <t>Rýmařov</t>
  </si>
  <si>
    <t>Pivovarská 14/16, Rýmařov</t>
  </si>
  <si>
    <t>1995 - 2005, 2008</t>
  </si>
  <si>
    <t>https://goo.gl/Bt9ohY</t>
  </si>
  <si>
    <t>Excelent, Rýmařovské</t>
  </si>
  <si>
    <t>N 49°55.85228'. E 17°16.18775'</t>
  </si>
  <si>
    <t>Faltus</t>
  </si>
  <si>
    <t>Pivovar Faltus</t>
  </si>
  <si>
    <t>Česká Třebová</t>
  </si>
  <si>
    <t>Moravská 207, Česká Třebová</t>
  </si>
  <si>
    <t>https://goo.gl/r8z3eD</t>
  </si>
  <si>
    <t>ARMAT spol. s r.o.</t>
  </si>
  <si>
    <t>Českotřebovská pšenka, Kohout, Milota, Miroslav, Viktor, Vladimír</t>
  </si>
  <si>
    <t>https://flic.kr/s/aHsmeCsPuG</t>
  </si>
  <si>
    <t>N 49°54.04982'. E 16°26.95155'</t>
  </si>
  <si>
    <t>Ferdinand</t>
  </si>
  <si>
    <t>Pivovar Ferdinand</t>
  </si>
  <si>
    <t>Plzeň-jih</t>
  </si>
  <si>
    <t>Benešov</t>
  </si>
  <si>
    <t>Přeštice</t>
  </si>
  <si>
    <t>Táborská 306, Benešov</t>
  </si>
  <si>
    <t>https://www.facebook.com/pivokutnahora.cz</t>
  </si>
  <si>
    <t>https://goo.gl/YiH5qi</t>
  </si>
  <si>
    <t>Pivovar Ferdinand a.s.</t>
  </si>
  <si>
    <t>d´Este, Ferdinand, Max, Sedm Kulí</t>
  </si>
  <si>
    <t>N 49°46.80565'. E 14°41.42830'</t>
  </si>
  <si>
    <t>Eggenberg</t>
  </si>
  <si>
    <t>Pivovar Eggenberg</t>
  </si>
  <si>
    <t>Český Krumlov</t>
  </si>
  <si>
    <t>Pivovarská 27, Český Krumlov - Latrán</t>
  </si>
  <si>
    <t>http://www.eggenberg.cz</t>
  </si>
  <si>
    <t>https://goo.gl/8E75Ph</t>
  </si>
  <si>
    <t>Brewery Český Krumlov s.r.o.</t>
  </si>
  <si>
    <t>Eggenberg, Kristián, Petr Vok</t>
  </si>
  <si>
    <t>N 48°48.73943'. E 14°19.19142'</t>
  </si>
  <si>
    <t>U Fleků</t>
  </si>
  <si>
    <t>Pivovar U Fleků</t>
  </si>
  <si>
    <t>Praha - Nové Město</t>
  </si>
  <si>
    <t>https://flic.kr/s/aHsmm6iGEN</t>
  </si>
  <si>
    <t>Křemencova 1651/11, Praha 1 - Nové Město</t>
  </si>
  <si>
    <t>Třebíč</t>
  </si>
  <si>
    <t>https://goo.gl/2etRuP</t>
  </si>
  <si>
    <t>Pivovar a restaurace U Fleků s.r.o.</t>
  </si>
  <si>
    <t>Flekovský</t>
  </si>
  <si>
    <t>N 50°4.73412'. E 14°25.01485'</t>
  </si>
  <si>
    <t>Avar</t>
  </si>
  <si>
    <t>Pivovar Avar</t>
  </si>
  <si>
    <t>Hlučín</t>
  </si>
  <si>
    <t>Pode zdí 148/13, Hlučín</t>
  </si>
  <si>
    <t>https://goo.gl/qLigNZ</t>
  </si>
  <si>
    <t>Avar plus, s.r.o.</t>
  </si>
  <si>
    <t>Původní název - Hlučínský starý pivovar</t>
  </si>
  <si>
    <t>N 49°53.86927'. E 18°11.24257'</t>
  </si>
  <si>
    <t>Jičín</t>
  </si>
  <si>
    <t>Garage</t>
  </si>
  <si>
    <t>Pivovar Garage</t>
  </si>
  <si>
    <t>Ostrava - Martinov</t>
  </si>
  <si>
    <t>Martinovská 3262/50, Ostrava - Martinov</t>
  </si>
  <si>
    <t>https://goo.gl/NZ8k7f</t>
  </si>
  <si>
    <t>Woodman Production a.s.</t>
  </si>
  <si>
    <t>Garážmistr</t>
  </si>
  <si>
    <t>N 49°51.25812'. E 18°10.99782'</t>
  </si>
  <si>
    <t>Stod</t>
  </si>
  <si>
    <t>1573 / 2009</t>
  </si>
  <si>
    <t>Glokner</t>
  </si>
  <si>
    <t>Hostinský pivovar Glokner</t>
  </si>
  <si>
    <t>Svachova Lhotka</t>
  </si>
  <si>
    <t>Svachova Lhotka 1, Mirkovice - Svachova Lhotka</t>
  </si>
  <si>
    <t>https://goo.gl/FpqAqG</t>
  </si>
  <si>
    <t>Waxwing s.r.o.</t>
  </si>
  <si>
    <t>Glok</t>
  </si>
  <si>
    <t>N 48°49.62797'. E 14°21.80612'</t>
  </si>
  <si>
    <t>Jelínkova vila</t>
  </si>
  <si>
    <t>Minipivovar Jelínkova vila</t>
  </si>
  <si>
    <t>Velké Meziříčí</t>
  </si>
  <si>
    <t>Třebíčská 342/10, Velké Meziříčí</t>
  </si>
  <si>
    <t>https://goo.gl/BmJ56Q</t>
  </si>
  <si>
    <t>Aqueko, spol. s r.o.</t>
  </si>
  <si>
    <t>Harrach</t>
  </si>
  <si>
    <t>N 49°21.28422'. E 16°0.60498'</t>
  </si>
  <si>
    <t>Velký Rybník</t>
  </si>
  <si>
    <t>Domácí pivovárek Velký Rybník</t>
  </si>
  <si>
    <t>Hroznětín - Velký Rybník</t>
  </si>
  <si>
    <t>Velký Rybník 9, Hroznětín - Velký Rybník</t>
  </si>
  <si>
    <t>Bruntál</t>
  </si>
  <si>
    <t>https://goo.gl/hQq3ad</t>
  </si>
  <si>
    <t>Aloe bier, Hastrmánek, Hastrmanská, Sklepní pivo, Velkorybnický</t>
  </si>
  <si>
    <t>Restaurace U Hastrmana</t>
  </si>
  <si>
    <t>N 50°17.27352'. E 12°51.94163'</t>
  </si>
  <si>
    <t>Forman</t>
  </si>
  <si>
    <t>Pivovar Velichovský Forman</t>
  </si>
  <si>
    <t>Velichov</t>
  </si>
  <si>
    <t>Velichov 84, Velichov</t>
  </si>
  <si>
    <t>https://goo.gl/SJxfWD</t>
  </si>
  <si>
    <t>Bohuslav Novák - Pivovar Velichov ""Forman""</t>
  </si>
  <si>
    <t>Velichovský Forman</t>
  </si>
  <si>
    <t>N 50°17.02648'. E 13°0.59295'</t>
  </si>
  <si>
    <t>Hendrych</t>
  </si>
  <si>
    <t>Rodinný pivovar Hendrych</t>
  </si>
  <si>
    <t>Vrchlabí</t>
  </si>
  <si>
    <t>Horská 192, Vrchlabí</t>
  </si>
  <si>
    <t>Pardubický kraj</t>
  </si>
  <si>
    <t>Ústí nad Orlicí</t>
  </si>
  <si>
    <t>https://goo.gl/c8Jx44</t>
  </si>
  <si>
    <t>Hendrych &amp; synové s.r.o.</t>
  </si>
  <si>
    <t>Hendrych H</t>
  </si>
  <si>
    <t>N 50°39.29412'. E 15°36.19608'</t>
  </si>
  <si>
    <t>Herold</t>
  </si>
  <si>
    <t>Pivovar Herold</t>
  </si>
  <si>
    <t>Březnice</t>
  </si>
  <si>
    <t>Zámecký obvod 31, Březnice u Příbrami</t>
  </si>
  <si>
    <t>https://goo.gl/3oZBg4</t>
  </si>
  <si>
    <t>1560 / 2014</t>
  </si>
  <si>
    <t>Pivovar Herold Březnice a.s.</t>
  </si>
  <si>
    <t>N 49°33.44868'. E 13°57.51205'</t>
  </si>
  <si>
    <t>Holba</t>
  </si>
  <si>
    <t>Pivovar Holba</t>
  </si>
  <si>
    <t>Hanušovice</t>
  </si>
  <si>
    <t>Pivovarská 261, Hanušovice</t>
  </si>
  <si>
    <t>https://goo.gl/DerBeQ</t>
  </si>
  <si>
    <t>PMS Přerov</t>
  </si>
  <si>
    <t>Pivovar Holba a.s.</t>
  </si>
  <si>
    <t>Holba, Šerák</t>
  </si>
  <si>
    <t>N 50°4.19550'. E 16°55.66147'</t>
  </si>
  <si>
    <t>Hostivar</t>
  </si>
  <si>
    <t>Pivovar Hostivar 1</t>
  </si>
  <si>
    <t>Praha - Hostivař</t>
  </si>
  <si>
    <t>Lochotínská 656, Praha 15</t>
  </si>
  <si>
    <t>https://goo.gl/AzP9fe</t>
  </si>
  <si>
    <t>Pivo Hostivar, a.s.</t>
  </si>
  <si>
    <t>N 50°2.78213'. E 14°32.96112'</t>
  </si>
  <si>
    <r>
      <t>Hostivar H</t>
    </r>
    <r>
      <rPr>
        <sz val="11"/>
        <color rgb="FF000000"/>
        <rFont val="Calibri"/>
      </rPr>
      <t>2</t>
    </r>
  </si>
  <si>
    <r>
      <t>Pivovar Hostivar H</t>
    </r>
    <r>
      <rPr>
        <sz val="11"/>
        <color rgb="FF000000"/>
        <rFont val="Calibri"/>
      </rPr>
      <t>2</t>
    </r>
  </si>
  <si>
    <t>Hornoměcholupská 750/115, Praha 15</t>
  </si>
  <si>
    <t>Opava</t>
  </si>
  <si>
    <t>https://goo.gl/SCkDX8</t>
  </si>
  <si>
    <t>N 50°2.96468', E 14°33.70832'</t>
  </si>
  <si>
    <t>Hubertus</t>
  </si>
  <si>
    <t>Pivovar Hubertus</t>
  </si>
  <si>
    <t>Kácov</t>
  </si>
  <si>
    <t>V Podskalí 6, Kácov</t>
  </si>
  <si>
    <t>https://goo.gl/7ipcem</t>
  </si>
  <si>
    <t>Pivovar Hubertus, a. s.</t>
  </si>
  <si>
    <t>https://flic.kr/s/aHsku9hoC2</t>
  </si>
  <si>
    <t>N 49°46.61088'. E 15°1.76280'</t>
  </si>
  <si>
    <t>Hukvaldy</t>
  </si>
  <si>
    <t>Minipivovar Hukvaldy</t>
  </si>
  <si>
    <t>Hukvaldy - Dolní Sklenov</t>
  </si>
  <si>
    <t>Dolní Sklenov 19, Hukvaldy</t>
  </si>
  <si>
    <t>https://goo.gl/E68Evf</t>
  </si>
  <si>
    <t>Hukvaldské</t>
  </si>
  <si>
    <t>Hostinec Na Zastávce</t>
  </si>
  <si>
    <t>https://www.facebook.com/media/set/?set=a.293553554115026.1073741837.282498931887155&amp;type=1&amp;l=adb5381945</t>
  </si>
  <si>
    <t>N 49°38.04945'. E 18°12.98535'</t>
  </si>
  <si>
    <t>Chalupník</t>
  </si>
  <si>
    <t>Pivovar Chalupník</t>
  </si>
  <si>
    <t>Perštejn</t>
  </si>
  <si>
    <t>Husova 47, Perštejn</t>
  </si>
  <si>
    <t>https://goo.gl/8TZSj2</t>
  </si>
  <si>
    <t>CH-KOVO s.r.o.</t>
  </si>
  <si>
    <t>Bludimíra, Harmonie, Chalupník, Premiant, Sládek</t>
  </si>
  <si>
    <t>N 50°23.03100'. E 13°6.66200'</t>
  </si>
  <si>
    <t>Chodovar</t>
  </si>
  <si>
    <t>Rodinný pivovar Chodovar</t>
  </si>
  <si>
    <t>Chodová Planá</t>
  </si>
  <si>
    <t>Pivovarská 107, Chodová Planá</t>
  </si>
  <si>
    <t>Mirkovice</t>
  </si>
  <si>
    <t>https://goo.gl/BmyjXx</t>
  </si>
  <si>
    <t>Rodinný pivovar Chodovar, spol. s r.o.</t>
  </si>
  <si>
    <t>Chodovar, Mr. Albi, Pašerák, Prezident, Roller, Skalní</t>
  </si>
  <si>
    <t>N 49°53.60833'. E 12°43.64480'</t>
  </si>
  <si>
    <t>Hostan</t>
  </si>
  <si>
    <t>Pivovar Hostan</t>
  </si>
  <si>
    <t>Znojmo</t>
  </si>
  <si>
    <t>Hradní 87/2, Znojmo</t>
  </si>
  <si>
    <t>http://www.hostan.cz</t>
  </si>
  <si>
    <t>https://goo.gl/8FajC1</t>
  </si>
  <si>
    <t>Vaří se v pivovaru Starobrno</t>
  </si>
  <si>
    <t>N 48°51.37395'. E 16°2.70612'</t>
  </si>
  <si>
    <t>Chotěboř</t>
  </si>
  <si>
    <t>Pivovar Chotěboř</t>
  </si>
  <si>
    <t>Průmyslová 1755, Chotěboř</t>
  </si>
  <si>
    <t>Žďár nad Sázavou</t>
  </si>
  <si>
    <t>https://www.facebook.com/Pivovar-Chot%C4%9Bbo%C5%99-1627652154140904/</t>
  </si>
  <si>
    <t>https://goo.gl/uLmjtZ</t>
  </si>
  <si>
    <t>Pivovar Chotěboř s.r.o.</t>
  </si>
  <si>
    <t>Chotěboř, Hamerník, Hrad Karlštejn, Chrudimský ležák, Kostecký Hlt, Kostecký Kat, Patron</t>
  </si>
  <si>
    <t>N 49°42.56835'. E 15°41.77620'</t>
  </si>
  <si>
    <t>Chotoviny</t>
  </si>
  <si>
    <t>Minipivovar Mayzus Chotoviny</t>
  </si>
  <si>
    <t>Na Nádvoří 1, Chotoviny</t>
  </si>
  <si>
    <t>Karlovarský kraj</t>
  </si>
  <si>
    <t>Karlovy Vary</t>
  </si>
  <si>
    <t>Ostrov</t>
  </si>
  <si>
    <t>Hroznětín</t>
  </si>
  <si>
    <t>https://goo.gl/AQoYPv</t>
  </si>
  <si>
    <t>2006 / 2014</t>
  </si>
  <si>
    <t>Mayzus Breweries Company s.r.o.</t>
  </si>
  <si>
    <t>Blátotlačka z Traalu, Columbus, Dr. Rudi, Chernobyl, Chotovinský, Taj Mahal, Vojtíšek</t>
  </si>
  <si>
    <t>N 49°28.73827'. E 14°40.86570'</t>
  </si>
  <si>
    <t>Stará škola</t>
  </si>
  <si>
    <t>Minipivovar Stará škola</t>
  </si>
  <si>
    <t>Chudenice</t>
  </si>
  <si>
    <t>Mírové nám. 42, Chudenice</t>
  </si>
  <si>
    <t>Trutnov</t>
  </si>
  <si>
    <t>Restaurace Stará škola, spol. s r.o.</t>
  </si>
  <si>
    <t>Barbucha, Bolfánecký Poustevník, Bubák, Fantom, Hopkirk, Houwárek, Sukuba</t>
  </si>
  <si>
    <t>Stará škola, U Kance</t>
  </si>
  <si>
    <t>N 49°28.04377'. E 13°10.41138'</t>
  </si>
  <si>
    <t>Žlebské Chvalovice</t>
  </si>
  <si>
    <t>Kutílkova palírna a pivovar Žlebské Chvalovice</t>
  </si>
  <si>
    <t>Žlebské Chvalovice 88, Žlebské Chvalovice</t>
  </si>
  <si>
    <t>https://goo.gl/5aWhtr</t>
  </si>
  <si>
    <t>Pivovar - palírna Žlebské Chvalovice</t>
  </si>
  <si>
    <t>Železnohorský</t>
  </si>
  <si>
    <t>Kutílkova palírna a restaurace</t>
  </si>
  <si>
    <t>N 49°53.61053'. E 15°33.96492'</t>
  </si>
  <si>
    <t>Chýně</t>
  </si>
  <si>
    <t>Pivovarský dvůr Chýně</t>
  </si>
  <si>
    <t>Hlavní 525, Chýně</t>
  </si>
  <si>
    <t>https://www.facebook.com/pivovarskydvur.cz</t>
  </si>
  <si>
    <t>https://goo.gl/Wh6D4e</t>
  </si>
  <si>
    <t>Ale Mondeo, BuQičák, Černý pes, Dvorní, Gorilák, Chýňský, Kouř, Mlynářská, Safír</t>
  </si>
  <si>
    <t>N 50°3.76812'. E 14°14.00333'</t>
  </si>
  <si>
    <t>Vyšší Brod</t>
  </si>
  <si>
    <t>Minipivovar Vyšší Brod</t>
  </si>
  <si>
    <t>Kaplická 28, Vyšší Brod</t>
  </si>
  <si>
    <t>https://goo.gl/VJx1ST</t>
  </si>
  <si>
    <t>Jaroslava Fojtlová</t>
  </si>
  <si>
    <t>Jakub</t>
  </si>
  <si>
    <t>Pajzl u Jakuba</t>
  </si>
  <si>
    <t>N 48°36.96840'. E 14°18.76557'</t>
  </si>
  <si>
    <t>Pivovar Uherský Brod</t>
  </si>
  <si>
    <t>Neradice 369, Uherský Brod</t>
  </si>
  <si>
    <t>https://goo.gl/uo9mqj</t>
  </si>
  <si>
    <t>Dřívější název pivovaru "Janáček"</t>
  </si>
  <si>
    <t>Comenius, Dukát, Kounic, Patriot, Perun</t>
  </si>
  <si>
    <t>N 49°1.44090'. E 17°39.31493'</t>
  </si>
  <si>
    <t>U krále Ječmínka</t>
  </si>
  <si>
    <t>První hanácké domácí pivovar U krále Ječmínka</t>
  </si>
  <si>
    <t>Prostějov</t>
  </si>
  <si>
    <t>Újezd 1652/4a, Prostějov</t>
  </si>
  <si>
    <t>https://goo.gl/PcDneK</t>
  </si>
  <si>
    <t>Černý Anděl, Ječmenný, Ječmínek, Ječná</t>
  </si>
  <si>
    <t>N 49°28.33537'. E 17°6.99558'</t>
  </si>
  <si>
    <t>Jeseník</t>
  </si>
  <si>
    <t>Minipivovar Jeseník</t>
  </si>
  <si>
    <t>Otakara Březiny 1369/002B, Jeseník</t>
  </si>
  <si>
    <t>https://goo.gl/hf17xz</t>
  </si>
  <si>
    <t>Březinka, Julius, Medoza, Muzikant, Špičák, Vincenz</t>
  </si>
  <si>
    <t>https://flic.kr/s/aHskvuoZHx</t>
  </si>
  <si>
    <t>N 50°13.94063'. E 17°12.06900'</t>
  </si>
  <si>
    <t>Ježek</t>
  </si>
  <si>
    <t>Pivovar Jihlava</t>
  </si>
  <si>
    <t>Jihlava</t>
  </si>
  <si>
    <t>Vrchlického 2084/2, Jihlava</t>
  </si>
  <si>
    <t>Chomutov</t>
  </si>
  <si>
    <t>Kadaň</t>
  </si>
  <si>
    <t>https://goo.gl/wg1pHb</t>
  </si>
  <si>
    <t>Altbier, Čertovský, Ježek, Krasličák, Kvasničák, Telčský Zachariáš</t>
  </si>
  <si>
    <t>N 49°23.84467'. E 15°34.95282'</t>
  </si>
  <si>
    <t>Jihoměstský</t>
  </si>
  <si>
    <t>Jihoměstský pivovar</t>
  </si>
  <si>
    <t>Praha - Chodov</t>
  </si>
  <si>
    <t>Podjavorinské 1602/11, Praha 11 - Chodov</t>
  </si>
  <si>
    <t>Tachov</t>
  </si>
  <si>
    <t>1860 / 2009</t>
  </si>
  <si>
    <t>https://goo.gl/QQKfBx</t>
  </si>
  <si>
    <t>Jihoměstský pivovar, s.r.o.</t>
  </si>
  <si>
    <t>Jihoměstský, Jihoměšťan</t>
  </si>
  <si>
    <t>N 50°1.88812'. E 14°31.18490'</t>
  </si>
  <si>
    <t>Kahan</t>
  </si>
  <si>
    <t>Minipivovar Mostecký Kahan</t>
  </si>
  <si>
    <t>Most</t>
  </si>
  <si>
    <t>Obránců míru 2629, Most</t>
  </si>
  <si>
    <t>https://goo.gl/ALJZJq</t>
  </si>
  <si>
    <t>Mostecký Kahan, s.r.o.</t>
  </si>
  <si>
    <t>Černí andělé, Kahan, Magistr Edward Kelley, Mostecká, Zdař bůh!</t>
  </si>
  <si>
    <t>https://www.facebook.com/media/set/?set=a.292295697574145.1073741836.282498931887155&amp;type=1&amp;l=04380b2296</t>
  </si>
  <si>
    <t>N 50°29.82870'. E 13°38.44717'</t>
  </si>
  <si>
    <t>Karel IV.</t>
  </si>
  <si>
    <t>Pivovar Karel IV.</t>
  </si>
  <si>
    <t>T. G. Masaryka 282/57, Karlovy Vary</t>
  </si>
  <si>
    <t>https://becherplatz.cz</t>
  </si>
  <si>
    <t>https://www.facebook.com/becherplatzKV</t>
  </si>
  <si>
    <t>https://goo.gl/QRfz2d</t>
  </si>
  <si>
    <t>Becherplatz a.s.</t>
  </si>
  <si>
    <t>N 50°13.81503'. E 12°52.02338'</t>
  </si>
  <si>
    <t>Klášter</t>
  </si>
  <si>
    <t>Pivovar Klášter</t>
  </si>
  <si>
    <t>Klášter Hradiště nad Jizerou</t>
  </si>
  <si>
    <t>Klášter Hradiště nad Jizerou 16, Klášter Hradiště nad Jizerou</t>
  </si>
  <si>
    <t>Tábor</t>
  </si>
  <si>
    <t>https://goo.gl/8PXcd8</t>
  </si>
  <si>
    <t>N 50°31.47967'. E 14°56.86152'</t>
  </si>
  <si>
    <t>Pod Kněží horou</t>
  </si>
  <si>
    <t>Pivovar Pod Kněží horou ve Bzenci</t>
  </si>
  <si>
    <t>Bzenec</t>
  </si>
  <si>
    <t>Partyzánská 1012, Bzenec</t>
  </si>
  <si>
    <t>http://www.knezihora.cz</t>
  </si>
  <si>
    <t>https://www.facebook.com/pivovarbzenec</t>
  </si>
  <si>
    <t>https://goo.gl/HJt845</t>
  </si>
  <si>
    <t>Radomil Paták</t>
  </si>
  <si>
    <t>Bhut Jolokia, Cochlearia armoracia, Kněžihorský, Sambucus nigra L. 1753, Zingiber oficinale</t>
  </si>
  <si>
    <t>U Lokálky</t>
  </si>
  <si>
    <t>https://www.facebook.com/media/set/?set=a.301001400036908.1073741840.282498931887155&amp;type=1&amp;l=fc13e084fa</t>
  </si>
  <si>
    <t>N 48°58.38863'. E 17°17.32103'</t>
  </si>
  <si>
    <t>Kněžínek</t>
  </si>
  <si>
    <t>I. českobudějovický minipivovar Kněžínek</t>
  </si>
  <si>
    <t>České Budějovice - Nové Dvory</t>
  </si>
  <si>
    <t>Haklovy dvory 2235, České Budějovice - České Budějovice 2</t>
  </si>
  <si>
    <t>http://www.knezinek.cz</t>
  </si>
  <si>
    <t>https://goo.gl/pg3HJY</t>
  </si>
  <si>
    <t>RKC Nové Dvory</t>
  </si>
  <si>
    <t>Černokněžník, Kněžínek</t>
  </si>
  <si>
    <t>N 49°0.17847'. E 14°24.19262'</t>
  </si>
  <si>
    <t>Kocour</t>
  </si>
  <si>
    <t>Pivovar Kocour Varnsdorf</t>
  </si>
  <si>
    <t>Varnsdorf</t>
  </si>
  <si>
    <t xml:space="preserve">Rumburská 1920, Varnsdorf </t>
  </si>
  <si>
    <t>Chrudim</t>
  </si>
  <si>
    <t>https://goo.gl/yUxJP2</t>
  </si>
  <si>
    <t>Pivovar Kocour Varnsdorf s.r.o.</t>
  </si>
  <si>
    <t>Catfish Sumeček, Hoppy Cat, K32, Kocour, Kubík, Mezulán, Quarterback, Samurai, Saurus</t>
  </si>
  <si>
    <t>Pivovar Kocour</t>
  </si>
  <si>
    <t>https://www.facebook.com/media/set/?set=a.492618447541868.1073741862.282498931887155&amp;type=1&amp;l=1f2bf47ad3</t>
  </si>
  <si>
    <t>N 50°55.19418'. E 14°36.21738'</t>
  </si>
  <si>
    <t>U Dvou koček</t>
  </si>
  <si>
    <t>Pivovar U Dvou koček</t>
  </si>
  <si>
    <t>Praha - Staré Město</t>
  </si>
  <si>
    <t>Uhelný trh 415/10, Praha 1 - Staré Město</t>
  </si>
  <si>
    <t>https://www.facebook.com/U-Dvou-ko%C4%8Dek-1042365925814357</t>
  </si>
  <si>
    <t>https://goo.gl/bRWkBm</t>
  </si>
  <si>
    <t>Kočka</t>
  </si>
  <si>
    <t>N 50°5.01072'. E 14°25.22917'</t>
  </si>
  <si>
    <t>Kubík</t>
  </si>
  <si>
    <t>Pivovar Kubík</t>
  </si>
  <si>
    <t>Hradec Králové - Nový Hradec Králové</t>
  </si>
  <si>
    <t>Profesora Smotlachy 1275/34, Hradec Králové - Nový Hradec Králové</t>
  </si>
  <si>
    <t>https://goo.gl/4g7AVa</t>
  </si>
  <si>
    <t>Pavel Kubík</t>
  </si>
  <si>
    <t>Hvězdář, Kluk, Kohout</t>
  </si>
  <si>
    <t>U Kohouta</t>
  </si>
  <si>
    <t>N 50°10.48932'. E 15°50.86717'</t>
  </si>
  <si>
    <t>Kohutka</t>
  </si>
  <si>
    <t>Pivovar Kohutka</t>
  </si>
  <si>
    <t>Vyšní Lhoty</t>
  </si>
  <si>
    <t>Vyšní Lhoty 197, Vyšní Lhoty</t>
  </si>
  <si>
    <t>http://restaurace-kohutka.cz</t>
  </si>
  <si>
    <t>https://www.facebook.com/restaurace.kohutka</t>
  </si>
  <si>
    <t>https://goo.gl/US3FMU</t>
  </si>
  <si>
    <t>Kohut</t>
  </si>
  <si>
    <t>Restaurace U Kohutky</t>
  </si>
  <si>
    <t>https://flic.kr/s/aHskvKMS9Z</t>
  </si>
  <si>
    <t>N 49°38.57928'. E 18°28.83233'</t>
  </si>
  <si>
    <t>Koníček</t>
  </si>
  <si>
    <t>Pivovar Koníček Vojkovice</t>
  </si>
  <si>
    <t>Vojkovice</t>
  </si>
  <si>
    <t>Vojkovice 10, Vojkovice</t>
  </si>
  <si>
    <t>https://goo.gl/26ACFu</t>
  </si>
  <si>
    <t>Pivovar Koníček, s.r.o.</t>
  </si>
  <si>
    <t>Bělouš, Čmelák, Grošák, Hatatitla, Husar, Klaďas, Klusák, Klusáček, Kobyla, Koníček, Mustang, Netopýr, Poník, Pony Pejl, Ryzák, Sršeň, Štědrok, Vojkovjan, Vojkovjanka, Vraník, Železník</t>
  </si>
  <si>
    <t>https://flic.kr/s/aHsmfxpyUp</t>
  </si>
  <si>
    <t>N 49°40.48962'. E 18°28.60253'</t>
  </si>
  <si>
    <t>Konrad</t>
  </si>
  <si>
    <t>Pivovar Konrad Liberec-Vratislavice</t>
  </si>
  <si>
    <t>Liberec - Vratislavice nad Nisou</t>
  </si>
  <si>
    <t>Pivovarská 164, Liberec XXX - Vratislavice nad Nisou</t>
  </si>
  <si>
    <t>https://goo.gl/CTMvNW</t>
  </si>
  <si>
    <t>Hols a.s.</t>
  </si>
  <si>
    <t>Červený král, Eso, Chytrón, IQ, K17, K20, Kapucín, Konrad, Pilot, Reichenberger, Spytihněv, Svatopavelské, Zelený král, Vejr, Vratislavický</t>
  </si>
  <si>
    <t>N 50°45.11667'. E 15°5.29658'</t>
  </si>
  <si>
    <t>https://flic.kr/s/aHsmupC1XD</t>
  </si>
  <si>
    <t>Kounický</t>
  </si>
  <si>
    <t>Kounický pivovar</t>
  </si>
  <si>
    <t>Kounice</t>
  </si>
  <si>
    <t>Kounice 52, Kounice</t>
  </si>
  <si>
    <t>https://goo.gl/MKxBbP</t>
  </si>
  <si>
    <t>Kounický pivovar s.r.o.</t>
  </si>
  <si>
    <t>Kounický, Single Beer</t>
  </si>
  <si>
    <t>Pivovarská hospůdka v Kounicích</t>
  </si>
  <si>
    <t>https://flic.kr/s/aHsmgFeKvH</t>
  </si>
  <si>
    <t>N 50°6.49567'. E 14°51.24228'</t>
  </si>
  <si>
    <t>Koliba</t>
  </si>
  <si>
    <t>Litoměřický pivovárek Koliba</t>
  </si>
  <si>
    <t>Litoměřice</t>
  </si>
  <si>
    <t>Českolipská 2100, Litoměřice</t>
  </si>
  <si>
    <t>https://goo.gl/4iNqX4</t>
  </si>
  <si>
    <t>Golden Gate CZ, Kousek, Ležák Lagarde</t>
  </si>
  <si>
    <t>N 50°32.19533'. E 14°9.19332'</t>
  </si>
  <si>
    <t>Kout</t>
  </si>
  <si>
    <t>Pivovar Kout na Šumavě</t>
  </si>
  <si>
    <t>Kout na Šumavě</t>
  </si>
  <si>
    <t>Kout na Šumavě 2, Kout na Šumavě</t>
  </si>
  <si>
    <t>https://goo.gl/bkyjac</t>
  </si>
  <si>
    <t>Koutská</t>
  </si>
  <si>
    <t>N 49°24.08640'. E 12°59.97702'</t>
  </si>
  <si>
    <t>Kozlíček</t>
  </si>
  <si>
    <t>Rodinný pivovar Kozlíček</t>
  </si>
  <si>
    <t>Horní Dubenky</t>
  </si>
  <si>
    <t>Horní Dubenky 145</t>
  </si>
  <si>
    <t>https://www.facebook.com/UMachyho2</t>
  </si>
  <si>
    <t>https://goo.gl/km6Wb9</t>
  </si>
  <si>
    <t>Milan Kozlíček</t>
  </si>
  <si>
    <t>Javořický</t>
  </si>
  <si>
    <t>N 49°15.39442'. E 15°18.65610'</t>
  </si>
  <si>
    <t>Valašský</t>
  </si>
  <si>
    <t>Valašský pivovar v Kozlovicích</t>
  </si>
  <si>
    <t>Kozlovice</t>
  </si>
  <si>
    <t>Kozlovice 1, Kozlovice</t>
  </si>
  <si>
    <t>http://www.relaxvpodhuri.cz</t>
  </si>
  <si>
    <t>https://www.facebook.com/Hostinec-Pivovar-Kozlovice-1814612945497360</t>
  </si>
  <si>
    <t>https://goo.gl/uXq58o</t>
  </si>
  <si>
    <t>Relax v podhůří Beskyd</t>
  </si>
  <si>
    <t>ŠMÍRA - PRINT ENTERPRISES, a.s.</t>
  </si>
  <si>
    <t>Kozlovický fojt, Valašský vojvoda</t>
  </si>
  <si>
    <t>Valašský pivovar</t>
  </si>
  <si>
    <t>https://flic.kr/s/aHsmdYs574</t>
  </si>
  <si>
    <t>N 49°35.55488'. E 18°15.37007'</t>
  </si>
  <si>
    <t>Krakonoš</t>
  </si>
  <si>
    <t>Pivovar Krakonoš</t>
  </si>
  <si>
    <t>Křižíkova 486, Trutnov</t>
  </si>
  <si>
    <t>https://goo.gl/EPEBvJ</t>
  </si>
  <si>
    <t>KRAKONOŠ spol. s r.o.</t>
  </si>
  <si>
    <t>N 50°33.68588'. E 15°54.56197'</t>
  </si>
  <si>
    <t>Krkonošský medvěd</t>
  </si>
  <si>
    <t>Minipivovar Krkonošský medvěd</t>
  </si>
  <si>
    <t>Horská 198, Vrchlabí</t>
  </si>
  <si>
    <t>Mladá Boleslav</t>
  </si>
  <si>
    <t>Mnichovo Hradiště</t>
  </si>
  <si>
    <t>https://goo.gl/w4HCzu</t>
  </si>
  <si>
    <t>Early Evening, Grizzly, Hibiscus, HopBit, ChocaCola, Intergalactic PA, Krkonošský medvěd, Summer sunset</t>
  </si>
  <si>
    <t>N 50°38.57797'. E 15°36.51150'</t>
  </si>
  <si>
    <t>Krmelín</t>
  </si>
  <si>
    <t>Minipivovar Krmelín s Hospodou u Hodže</t>
  </si>
  <si>
    <t>Brušperská 22, Krmelín</t>
  </si>
  <si>
    <t>http://www.minipivovarkrmelin.cz</t>
  </si>
  <si>
    <t>Hodonín</t>
  </si>
  <si>
    <t>Kyjov</t>
  </si>
  <si>
    <t>https://goo.gl/WhKcXr</t>
  </si>
  <si>
    <t>Milan Mácha</t>
  </si>
  <si>
    <t>Krmelínské, Syčák</t>
  </si>
  <si>
    <t>Bowling U Hodže</t>
  </si>
  <si>
    <t>https://flic.kr/s/aHsmfw3RqG</t>
  </si>
  <si>
    <t>N 49°43.75818'. E 18°14.16757'</t>
  </si>
  <si>
    <t>Krušovice</t>
  </si>
  <si>
    <t>Královský pivovar Krušovice</t>
  </si>
  <si>
    <t>U Pivovaru 1, Krušovice</t>
  </si>
  <si>
    <t>https://goo.gl/pmm75Y</t>
  </si>
  <si>
    <t>Krušovice, Krušovická, Malvaz, Mušketýr</t>
  </si>
  <si>
    <t>N 50°10.41943'. E 13°46.35702'</t>
  </si>
  <si>
    <t>Sentický Kvasar</t>
  </si>
  <si>
    <t>Pivovar Sentický Kvasar</t>
  </si>
  <si>
    <t>Sentice</t>
  </si>
  <si>
    <t>Sentice 219, Sentice</t>
  </si>
  <si>
    <t>https://goo.gl/LKmEjZ</t>
  </si>
  <si>
    <t>Pivo Kvasar, s.r.o.</t>
  </si>
  <si>
    <t>Dřívější název "Domácí pivovar u Jelínků"; původně byl pivovar zde: N 49°18.54258'. E 16°26.61757'</t>
  </si>
  <si>
    <t>Sentický kvasar</t>
  </si>
  <si>
    <t>https://flic.kr/s/aHskxbcups</t>
  </si>
  <si>
    <t>N 49°18.76922', E 16°27.24562'</t>
  </si>
  <si>
    <t>Děčín</t>
  </si>
  <si>
    <t>Bravůr</t>
  </si>
  <si>
    <t>Rodinný pivovar Bravůr</t>
  </si>
  <si>
    <t>Loučná nad Desnou</t>
  </si>
  <si>
    <t>Loučná nad Desnou 65, Loučná nad Desnou</t>
  </si>
  <si>
    <t>uzavřený</t>
  </si>
  <si>
    <t>https://goo.gl/pe1QYM</t>
  </si>
  <si>
    <t>Kvasslav</t>
  </si>
  <si>
    <t>Na staré poště</t>
  </si>
  <si>
    <t>https://flic.kr/s/aHskxNh7Ds</t>
  </si>
  <si>
    <t>N 50°4.06308'. E 17°5.55203'</t>
  </si>
  <si>
    <t>Kvilda</t>
  </si>
  <si>
    <t>Pivovar a pekárna Kvilda</t>
  </si>
  <si>
    <t>Kvilda 75, Kvilda</t>
  </si>
  <si>
    <t>https://goo.gl/uu38HS</t>
  </si>
  <si>
    <t>Pekárna Kvilda s.r.o.</t>
  </si>
  <si>
    <t>Desaterák, Divočák, Dvanácterák, Galapetr, Královna Šumavy, Lišák, Osmerák, Rankl Sepp, Waldschmidt</t>
  </si>
  <si>
    <t>Pekárna Kvilda</t>
  </si>
  <si>
    <t>N 49°1.23525'. E 13°34.76643'</t>
  </si>
  <si>
    <t>Kynšperský</t>
  </si>
  <si>
    <t>Kynšperský Pivovar</t>
  </si>
  <si>
    <t>Kynšperk nad Ohří</t>
  </si>
  <si>
    <t>Sokolovská 482/40, Kynšperk nad Ohří</t>
  </si>
  <si>
    <t>https://goo.gl/cp5v7f</t>
  </si>
  <si>
    <t>Kynšperský pivovar, s.r.o.</t>
  </si>
  <si>
    <t>Černá milenka, Kynšperský zajíc, Valentýnský sen</t>
  </si>
  <si>
    <t>https://www.facebook.com/media/set/?set=a.331827446954303.1073741849.282498931887155&amp;type=1&amp;l=ea44011026</t>
  </si>
  <si>
    <t>N 50°7.44312'. E 12°31.88760'</t>
  </si>
  <si>
    <t>Labuť</t>
  </si>
  <si>
    <t>Litoměřický minipivovar Labuť</t>
  </si>
  <si>
    <t xml:space="preserve">Zítkova 784/5, Litoměřice </t>
  </si>
  <si>
    <t>https://goo.gl/nQryAD</t>
  </si>
  <si>
    <t>Minipivovar Labuť s.r.o.</t>
  </si>
  <si>
    <t>Černá Labuť, Labuť, Mistr lázeňský</t>
  </si>
  <si>
    <t>Restaurace Labuť</t>
  </si>
  <si>
    <t>https://flic.kr/s/aHskxpDXYq</t>
  </si>
  <si>
    <t>N 50°32.10438'. E 14°8.09887'</t>
  </si>
  <si>
    <t>Lipan</t>
  </si>
  <si>
    <t>Pivovarský dvůr Lipan</t>
  </si>
  <si>
    <t>Nymburk</t>
  </si>
  <si>
    <t>Dražíč</t>
  </si>
  <si>
    <t>Český Brod</t>
  </si>
  <si>
    <t>Dražíč 50, Dražíč</t>
  </si>
  <si>
    <t>https://goo.gl/q3jmNt</t>
  </si>
  <si>
    <t>Papula s.r.o.</t>
  </si>
  <si>
    <t>Bukoun, Lipan, Portyčák</t>
  </si>
  <si>
    <t>N 49°18.34038'. E 14°22.84507'</t>
  </si>
  <si>
    <t>Líšeňský</t>
  </si>
  <si>
    <t>Líšeňský pivovar</t>
  </si>
  <si>
    <t>Brno - Líšeň</t>
  </si>
  <si>
    <t>Kotlanova 2162/5, Brno - Líšeň</t>
  </si>
  <si>
    <t>Domažlice</t>
  </si>
  <si>
    <t>https://goo.gl/4cJ7jC</t>
  </si>
  <si>
    <t>Líšeňský pivovar spol. s r.o.</t>
  </si>
  <si>
    <t>Alfa, Ležan, Ležoun, Líšeňský, Marvan, PePa, Zlatý Pavián</t>
  </si>
  <si>
    <t>N 49°12.64843'. E 16°40.83752'</t>
  </si>
  <si>
    <t>Litovel</t>
  </si>
  <si>
    <t>Pivovar Litovel</t>
  </si>
  <si>
    <t>Palackého 934, Litovel</t>
  </si>
  <si>
    <t>https://goo.gl/iSUJ53</t>
  </si>
  <si>
    <t>Pivovar Litovel a.s.</t>
  </si>
  <si>
    <t>Classic, Granát, Gustav, Kvasničák, Litovel, Maestro, Moravan, Václav, Zelený ležák, Žejdlík Original</t>
  </si>
  <si>
    <t>N 49°41.67858'. E 17°4.58813'</t>
  </si>
  <si>
    <t>Vysoký Chlumec</t>
  </si>
  <si>
    <t>Knížecí pivovar Vysoký Chlumec</t>
  </si>
  <si>
    <t>Vysoký Chlumec 29, Vysoký Chlumec</t>
  </si>
  <si>
    <t>http://www.pivovar-vysokychlumec.cz</t>
  </si>
  <si>
    <t>https://goo.gl/Nm1Rx3</t>
  </si>
  <si>
    <t>Démon, Flying Cloud, Chlumecká, Chlumecký Vít, Janův elixír, Lobkowicz, Markýz, Max X., Tři sestry, Vévoda</t>
  </si>
  <si>
    <t>N 49°36.86472'. E 14°23.50747'</t>
  </si>
  <si>
    <t>Pod Kyčmolem</t>
  </si>
  <si>
    <t>Minipivovar hotelu Pod Kyčmolem</t>
  </si>
  <si>
    <t>Horní Lomná</t>
  </si>
  <si>
    <t>Horní Lomná 140, Horní Lomná</t>
  </si>
  <si>
    <t>https://goo.gl/TbULmJ</t>
  </si>
  <si>
    <t>Kvadro, s.r.o.</t>
  </si>
  <si>
    <t>Lomňan</t>
  </si>
  <si>
    <t>Hotel Pod Kyčmolem</t>
  </si>
  <si>
    <t>N 49°30.89077'. E 18°37.62690'</t>
  </si>
  <si>
    <t>Magistr</t>
  </si>
  <si>
    <t>Domácí pivovar Magistr</t>
  </si>
  <si>
    <t>Brno - Veveří</t>
  </si>
  <si>
    <t>Hrnčířská 813/23, Brno-střed - Veveří</t>
  </si>
  <si>
    <t>https://goo.gl/zHSuif</t>
  </si>
  <si>
    <t>https://www.facebook.com/krkonosskymedved</t>
  </si>
  <si>
    <t>Piccola Birreria s.r.o.</t>
  </si>
  <si>
    <t>Císařský, Helios, Kateřina, Lycantrop, Magistr Kelly, Magistr Scotta, Matyáš, Old Land, Siréna</t>
  </si>
  <si>
    <t>Restaurace Magistr</t>
  </si>
  <si>
    <t>N 49°12.57570'. E 16°36.00288'</t>
  </si>
  <si>
    <t>Letohrádek</t>
  </si>
  <si>
    <t>Pikopivovar Letohrádek</t>
  </si>
  <si>
    <t>U Letohrádku 143, Frýdlant nad Ostravicí - Frýdlant</t>
  </si>
  <si>
    <t>2008 - 2009, 2013 - 2014</t>
  </si>
  <si>
    <t>https://goo.gl/eKt9eJ</t>
  </si>
  <si>
    <t>Pivo z Letohrádku</t>
  </si>
  <si>
    <t>Penzion Letohrádek</t>
  </si>
  <si>
    <t>N 49°35.08392'. E 18°21.03593'</t>
  </si>
  <si>
    <t>Magnát</t>
  </si>
  <si>
    <t>Štiřínský pivovar Magnát</t>
  </si>
  <si>
    <t>Štiřín</t>
  </si>
  <si>
    <t>Želivecká 707, Štiřín</t>
  </si>
  <si>
    <t>https://goo.gl/p3WY5n</t>
  </si>
  <si>
    <t>Štiřínská stodola, s.r.o.</t>
  </si>
  <si>
    <t>Štiřínská stodola</t>
  </si>
  <si>
    <t>N 49°55.01712'. E 14°35.73323'</t>
  </si>
  <si>
    <t>Mamut</t>
  </si>
  <si>
    <t>Pivovar Mamut</t>
  </si>
  <si>
    <t>Mikulov</t>
  </si>
  <si>
    <t>Venušina 1804/1, Mikulov</t>
  </si>
  <si>
    <t>Brno-venkov</t>
  </si>
  <si>
    <t>Tišnov</t>
  </si>
  <si>
    <t>2009 / 2018</t>
  </si>
  <si>
    <t>https://goo.gl/ysYYsc</t>
  </si>
  <si>
    <t>Mamut, Mastodont, Venouš</t>
  </si>
  <si>
    <t>U Chlupatého slona</t>
  </si>
  <si>
    <t>N 48°48.56160'. E 16°38.57862'</t>
  </si>
  <si>
    <t>Marina</t>
  </si>
  <si>
    <t>Restaurace a pivovar Marina Holešovice</t>
  </si>
  <si>
    <t>Praha - Holešovice</t>
  </si>
  <si>
    <t>Jankovcova 12, Praha 7 - Holešovice</t>
  </si>
  <si>
    <t>https://goo.gl/hxtydC</t>
  </si>
  <si>
    <t>Modrá vize, s.r.o.</t>
  </si>
  <si>
    <t>Holešovický, Marina, Přístavní</t>
  </si>
  <si>
    <t>Restaurace Marina Holešovice</t>
  </si>
  <si>
    <t>N 50°6.37252'. E 14°27.39007'</t>
  </si>
  <si>
    <t>Matuška</t>
  </si>
  <si>
    <t>Pivovar Matuška</t>
  </si>
  <si>
    <t>Broumy</t>
  </si>
  <si>
    <t>U Radnice 115, Broumy</t>
  </si>
  <si>
    <t>https://goo.gl/uNNovk</t>
  </si>
  <si>
    <t>Pivovar Matuška s.r.o.</t>
  </si>
  <si>
    <t>Apollo Galaxy, California, Čaroděj, Černá Raketa, Černý pařez, Desítka, Devítka, Fastball, Hell Cat, Champions, Jitrnice, Knír, Kulová desítka, Matuška, Námořník, Osvoboditel, Raptor, Sv. Martin, Uluwatu, Zlatá Raketa</t>
  </si>
  <si>
    <t>N 49°57.30123'. E 13°51.09448'</t>
  </si>
  <si>
    <t>Prachatice</t>
  </si>
  <si>
    <t>Vimperk</t>
  </si>
  <si>
    <t>Pivovar Kroměříž</t>
  </si>
  <si>
    <t>Na Sádkách 2798/9, Kroměříž</t>
  </si>
  <si>
    <t>https://goo.gl/Tf8vt2</t>
  </si>
  <si>
    <t>Pivovar Kroměříž s.r.o.</t>
  </si>
  <si>
    <t>Maxmilian, Polibek, Red Max, Skrytý Satyr</t>
  </si>
  <si>
    <t>Podniková prodejna v areálu pivovaru</t>
  </si>
  <si>
    <t>N 49°18.56283'. E 17°23.85775'</t>
  </si>
  <si>
    <t>Mazák</t>
  </si>
  <si>
    <t>Sokolov</t>
  </si>
  <si>
    <t>Pivovar Mazák</t>
  </si>
  <si>
    <t>Dolní Bojanovice</t>
  </si>
  <si>
    <t>Hodonínská 1110, Dolní Bojanovice</t>
  </si>
  <si>
    <t>https://goo.gl/foLSkF</t>
  </si>
  <si>
    <t>Pivovar původně sídlil zde: N 48°51.60457', E 17°1.65372'</t>
  </si>
  <si>
    <t>Bojanowitz, Galaxy, Jantar, Mazák</t>
  </si>
  <si>
    <t>https://flic.kr/s/aHskugdwHM</t>
  </si>
  <si>
    <t>N 48°51.40253'. E 17°2.08930'</t>
  </si>
  <si>
    <t>U rytíře Lochoty</t>
  </si>
  <si>
    <t>Minipivovar U rytíře Lochoty</t>
  </si>
  <si>
    <t>Plzeň - Bolevec</t>
  </si>
  <si>
    <t>Karlovarská 420/103, Plzeň 1 - Bolevec</t>
  </si>
  <si>
    <t>http://www.lochota.cz</t>
  </si>
  <si>
    <t>https://goo.gl/bTt92w</t>
  </si>
  <si>
    <t>Alloza s.r.o.</t>
  </si>
  <si>
    <t>Lochota</t>
  </si>
  <si>
    <t>N 49°46.22202'. E 13°21.79727'</t>
  </si>
  <si>
    <t>Medlešice</t>
  </si>
  <si>
    <t>Pivovar Medlešice</t>
  </si>
  <si>
    <t>Chrudim - Medlešice</t>
  </si>
  <si>
    <t>Medlešice 2, Chrudim - Medlešice</t>
  </si>
  <si>
    <t>Týn nad Vltavou</t>
  </si>
  <si>
    <t>https://goo.gl/1sCA26</t>
  </si>
  <si>
    <t>Medlešický</t>
  </si>
  <si>
    <t>https://flic.kr/s/aHsm7dUpSW</t>
  </si>
  <si>
    <t>N 49°58.66632'. E 15°46.23942'</t>
  </si>
  <si>
    <t>Melichárek</t>
  </si>
  <si>
    <t>Pivovárek Melichárek</t>
  </si>
  <si>
    <t>Horka nad Moravou</t>
  </si>
  <si>
    <t>1. máje 21/10, Horka nad Moravou</t>
  </si>
  <si>
    <t>Brno-město</t>
  </si>
  <si>
    <t>Brno</t>
  </si>
  <si>
    <t>https://goo.gl/rsyKa6</t>
  </si>
  <si>
    <t>Melichárek, Příkazský Mechoš, Příkazská Mechoška</t>
  </si>
  <si>
    <t>Pivovarský dvůr</t>
  </si>
  <si>
    <t>N 49°38.35163'. E 17°12.69277'</t>
  </si>
  <si>
    <t>Louny</t>
  </si>
  <si>
    <t>Pivovar Louny</t>
  </si>
  <si>
    <t>Husova 64, Louny</t>
  </si>
  <si>
    <t>http://www.heinekenceskarepublika.cz</t>
  </si>
  <si>
    <t>https://goo.gl/PE3jM2</t>
  </si>
  <si>
    <t>Vaří se v pivovaru Velké Březno</t>
  </si>
  <si>
    <t>N 50°21.48390'. E 13°48.93528'</t>
  </si>
  <si>
    <t>U bojiště 1866</t>
  </si>
  <si>
    <t>Pivovar U bojiště 1866 Miletín</t>
  </si>
  <si>
    <t>Miletín</t>
  </si>
  <si>
    <t>náměstí K. J. Erbena 98, Miletín</t>
  </si>
  <si>
    <t>Olomouc</t>
  </si>
  <si>
    <t>https://goo.gl/VoAeyZ</t>
  </si>
  <si>
    <t>Battalion Salve, Chmelka, Pytlák</t>
  </si>
  <si>
    <t>Pivovarská zahrádka za Sousedským domem</t>
  </si>
  <si>
    <t>https://www.facebook.com/media/set/?set=a.320556288081419.1073741847.282498931887155&amp;type=1&amp;l=ac9dea58ee</t>
  </si>
  <si>
    <t>N 50°24.24473'. E 15°40.87147'</t>
  </si>
  <si>
    <t>Sedlčany</t>
  </si>
  <si>
    <t>MMX</t>
  </si>
  <si>
    <t>Pivovar MMX</t>
  </si>
  <si>
    <t>Lety u Dobřichovic</t>
  </si>
  <si>
    <t>Dobřichovická 452, Lety</t>
  </si>
  <si>
    <t>https://goo.gl/dj7PUu</t>
  </si>
  <si>
    <t>GLOBALICA a.s.</t>
  </si>
  <si>
    <t>https://flic.kr/s/aHsmfg97FD</t>
  </si>
  <si>
    <t>N 49°55.39080'. E 14°15.51795'</t>
  </si>
  <si>
    <t>Jablunkov</t>
  </si>
  <si>
    <t>2011 / 2018</t>
  </si>
  <si>
    <t>Moravský Žižkov</t>
  </si>
  <si>
    <t>Pivovar Moravský Žižkov</t>
  </si>
  <si>
    <t>Chalúpky 485, Moravský Žižkov</t>
  </si>
  <si>
    <t>https://goo.gl/rMRVGY</t>
  </si>
  <si>
    <t>Pivovar Moravský Žižkov, s.r.o.</t>
  </si>
  <si>
    <t>Divočák, Mustang, Žižkovský, Žižkovský čert, Žižkovská malina</t>
  </si>
  <si>
    <t>N 48°50.13642'. E 16°55.95150'</t>
  </si>
  <si>
    <t>Moritz</t>
  </si>
  <si>
    <t>Nešverova 683/2, Olomouc</t>
  </si>
  <si>
    <t>https://goo.gl/3reK5n</t>
  </si>
  <si>
    <t>Moritz a.s.</t>
  </si>
  <si>
    <t>Maisel, Moritz, Tereza</t>
  </si>
  <si>
    <t>Restaurace Moritz</t>
  </si>
  <si>
    <t>N 49°35.43657'. E 17°14.98347'</t>
  </si>
  <si>
    <t>Na Kopečku</t>
  </si>
  <si>
    <t>Svitavský pivovárek Na Kopečku</t>
  </si>
  <si>
    <t>Svitavy</t>
  </si>
  <si>
    <t>Radiměřská 1893/5a, Svitavy - Předměstí</t>
  </si>
  <si>
    <t>https://goo.gl/SmtgFa</t>
  </si>
  <si>
    <t>CzechBrewmasters s.r.o.</t>
  </si>
  <si>
    <t>C.K. cyklo, Kopečkovské, Kopečkovský, Mouřenín, Skopeček</t>
  </si>
  <si>
    <t>https://flic.kr/s/aHsmd4NrxP</t>
  </si>
  <si>
    <t>N 49°45.13103'. E 16°27.64897'</t>
  </si>
  <si>
    <t>Džekův ranč</t>
  </si>
  <si>
    <t>Praha-východ</t>
  </si>
  <si>
    <t>Minipivovar Džekův ranč</t>
  </si>
  <si>
    <t>Říčany</t>
  </si>
  <si>
    <t>Ždírec nad Doubravou</t>
  </si>
  <si>
    <t>Kamenice</t>
  </si>
  <si>
    <t>Žďárská 22, Ždírec nad Doubravou</t>
  </si>
  <si>
    <t>https://goo.gl/X837Ef</t>
  </si>
  <si>
    <t>MINIGAL s.r.o.</t>
  </si>
  <si>
    <t>Naše pivo</t>
  </si>
  <si>
    <t>https://flic.kr/s/aHskyRXLLq</t>
  </si>
  <si>
    <t>N 49°41.79337'. E 15°49.13448'</t>
  </si>
  <si>
    <t>Neumann</t>
  </si>
  <si>
    <t>Rodinný pivovar Neumann</t>
  </si>
  <si>
    <t>Mělnické Vtelno</t>
  </si>
  <si>
    <t>Chorušická 93, Mělnické Vtelno</t>
  </si>
  <si>
    <t>https://goo.gl/MtwQAR</t>
  </si>
  <si>
    <t>Adolf, Ála, Bivoj, Brok, Čapos, Dorota, Eliška, Fido, Hubert, Josef, Julda, Karel, Karl, Kokořínský pobuda, Leopold, Michal, Rado, Silný Donald, Václav, Vája</t>
  </si>
  <si>
    <t>N 50°21.17647'. E 14°41.60767'</t>
  </si>
  <si>
    <t>Novoměstský</t>
  </si>
  <si>
    <t>Novoměstský pivovar</t>
  </si>
  <si>
    <t>Vodičkova 682/20, Praha 1 - Nové Město</t>
  </si>
  <si>
    <t>https://flic.kr/s/aHsmxDsERu</t>
  </si>
  <si>
    <t>https://goo.gl/8M9A7u</t>
  </si>
  <si>
    <t>Novoměstský pivovar s.r.o.</t>
  </si>
  <si>
    <t>N 50°4.77280'. E 14°25.38630'</t>
  </si>
  <si>
    <t>Nová Paka</t>
  </si>
  <si>
    <t>Pivovar Nová Paka</t>
  </si>
  <si>
    <t>Pivovarská 400, Nová Paka</t>
  </si>
  <si>
    <t>https://goo.gl/q8qJbm</t>
  </si>
  <si>
    <t>Pivovar Nová Paka a.s.</t>
  </si>
  <si>
    <t>Brouček, Granát, Hemp Valley, Kryštof, Kumburák, MotoBrouk, Podkrkonošský, Valštejn</t>
  </si>
  <si>
    <t>N 50°29.23700'. E 15°31.46600'</t>
  </si>
  <si>
    <t>Novosad</t>
  </si>
  <si>
    <t>Minipivovar Novosad</t>
  </si>
  <si>
    <t>Harrachov</t>
  </si>
  <si>
    <t>Nový Svět 95, Harrachov - Nový Svět</t>
  </si>
  <si>
    <t>https://goo.gl/6REGva</t>
  </si>
  <si>
    <t>Sklárna a minipivovar Novosad &amp; syn s.r.o.</t>
  </si>
  <si>
    <t>Čerťák, František, Huťské</t>
  </si>
  <si>
    <t>N 50°46.94827'. E 15°25.16898'</t>
  </si>
  <si>
    <t>Broumov</t>
  </si>
  <si>
    <t>Pivovar Broumov</t>
  </si>
  <si>
    <t>Broumov - Olivětín</t>
  </si>
  <si>
    <t>třída Osvobození 55, Broumov - Olivětín</t>
  </si>
  <si>
    <t>https://goo.gl/uSrMes</t>
  </si>
  <si>
    <t>Pivovar Broumov s.r.o.</t>
  </si>
  <si>
    <t>Novic, Opat, Rampuš</t>
  </si>
  <si>
    <t>N 50°36.22668'. E 16°20.07258'</t>
  </si>
  <si>
    <t>Helf</t>
  </si>
  <si>
    <t>Řemeslný pivovar HELF</t>
  </si>
  <si>
    <t>Osek nad Bečvou</t>
  </si>
  <si>
    <t>Osek nad Bečvou 423, Osek nad Bečvou</t>
  </si>
  <si>
    <t>2013 - 2016, 2017</t>
  </si>
  <si>
    <t>https://goo.gl/h8D5MK</t>
  </si>
  <si>
    <t>(LIPAS s.r.o.)</t>
  </si>
  <si>
    <t>Nástupce pivovaru "Osečan"</t>
  </si>
  <si>
    <t>(Osečan), Hefaiston, HELF, Kovář, Nadržený klokan, Zichovec</t>
  </si>
  <si>
    <t>(Motorest Osečanka)</t>
  </si>
  <si>
    <t>N 49°30.59800'. E 17°31.21690'</t>
  </si>
  <si>
    <t>Ostravar</t>
  </si>
  <si>
    <t>Pivovar Ostravar</t>
  </si>
  <si>
    <t>Ostrava - Moravská Ostrava</t>
  </si>
  <si>
    <t>Hornopolní 1075/57, Ostrava - Moravská Ostrava a Přívoz</t>
  </si>
  <si>
    <t>2001 / 2016</t>
  </si>
  <si>
    <t>Plzeň-město</t>
  </si>
  <si>
    <t>Plzeň</t>
  </si>
  <si>
    <t>https://goo.gl/dRfqkR</t>
  </si>
  <si>
    <t>Černá Barbora, Mustang, Original, Premium, Ruby, Sto15, Velvet</t>
  </si>
  <si>
    <t>Ostravarna</t>
  </si>
  <si>
    <t>N 49°50.32660'. E 18°16.39815'</t>
  </si>
  <si>
    <t>Pacov</t>
  </si>
  <si>
    <t>Rodinný minipivovar Pacov</t>
  </si>
  <si>
    <t>Jana Autengrubera 318, Pacov</t>
  </si>
  <si>
    <t>https://goo.gl/qMMhUz</t>
  </si>
  <si>
    <t>Belgičan, Černý rabín, Elf, Golem, Pacovské, Pila, Rakušák, Včelka</t>
  </si>
  <si>
    <t>N 49°28.29035'. E 15°0.13333'</t>
  </si>
  <si>
    <t>Parník</t>
  </si>
  <si>
    <t>Minipivovar Parník</t>
  </si>
  <si>
    <t>Přerov</t>
  </si>
  <si>
    <t>Tovární 1021/5, Přerov I - Město</t>
  </si>
  <si>
    <t>1892 / 2010</t>
  </si>
  <si>
    <t>https://goo.gl/pJyuSZ</t>
  </si>
  <si>
    <t>Minipivovar Parník s.r.o. (dříve Horestýn s.r.o.)</t>
  </si>
  <si>
    <t>Admirál, Kapitán, Kotva, Lodník, Maják, Námořník, Perla, Pirát, Přerovský negr, Sv. Mikuláš</t>
  </si>
  <si>
    <t>https://flic.kr/s/aHsmfMW1xt</t>
  </si>
  <si>
    <t>N 49°26.69790'. E 17°27.08963'</t>
  </si>
  <si>
    <t>Paroháč</t>
  </si>
  <si>
    <t>Pivovar Paroháč</t>
  </si>
  <si>
    <t>Pec pod Sněžkou</t>
  </si>
  <si>
    <t>Pec pod Sněžkou 203, Pec pod Sněžkou</t>
  </si>
  <si>
    <t>Hořice</t>
  </si>
  <si>
    <t>https://goo.gl/X6QfTh</t>
  </si>
  <si>
    <t>AEZZ a.s.</t>
  </si>
  <si>
    <t>Hotel Luční bouda</t>
  </si>
  <si>
    <t>N 50°44.06287'. E 15°41.82192'</t>
  </si>
  <si>
    <t>U Pašáka</t>
  </si>
  <si>
    <t>Pivovar U Pašáka</t>
  </si>
  <si>
    <t>Poděbradova 415/12, Plzeň 3 - Jižní Předměstí</t>
  </si>
  <si>
    <t>Lety</t>
  </si>
  <si>
    <t>https://goo.gl/ohtwBg</t>
  </si>
  <si>
    <t>Pivovárek s.r.o.</t>
  </si>
  <si>
    <t>Pašák, Vltavský plavec, Pašák skořicový</t>
  </si>
  <si>
    <t>Restaurant U Pašáka</t>
  </si>
  <si>
    <t>N 49°44.80368'. E 13°22.06698'</t>
  </si>
  <si>
    <t>Pegas</t>
  </si>
  <si>
    <t>Pivovar Pegas</t>
  </si>
  <si>
    <t>Jakubská 120/4, Brno-střed - Brno-město</t>
  </si>
  <si>
    <t>https://goo.gl/sXtpBB</t>
  </si>
  <si>
    <t>Pegas - hotel, pivovar, pivnice s.r.o.</t>
  </si>
  <si>
    <t>Distant Grounds, Pegas</t>
  </si>
  <si>
    <t>Restaurace Pegas</t>
  </si>
  <si>
    <t>N 49°11.77278'. E 16°36.42577'</t>
  </si>
  <si>
    <t>Permon</t>
  </si>
  <si>
    <t>Pivovar Permon</t>
  </si>
  <si>
    <t>Komenského 77, Sokolov</t>
  </si>
  <si>
    <t>https://goo.gl/Etgfj7</t>
  </si>
  <si>
    <t>Pivovar PERMON s.r.o.</t>
  </si>
  <si>
    <t>Angry Beer, Centential S.M.A.S.H., Don Habanero, Extra Premium, Fakir, Ginja Inside, Hopper, Horňák, In Hop We Trust, P.A.P.A., P.E.P.A., P.I.P.A., Permon, Redmon, Sherpa, Smoke Zone</t>
  </si>
  <si>
    <t>S pivovarskou prodejnou, pivotékou a čepovaným pivem v areálu pivovaru</t>
  </si>
  <si>
    <t>https://www.facebook.com/media/set/?set=a.343326579137723.1073741852.282498931887155&amp;type=1&amp;l=7c3cbb8843</t>
  </si>
  <si>
    <t>N 50°10.70293'. E 12°38.25227'</t>
  </si>
  <si>
    <t>Pardubický</t>
  </si>
  <si>
    <t>Pardubický pivovar</t>
  </si>
  <si>
    <t>Pardubice</t>
  </si>
  <si>
    <t>Palackého třída 250, Pardubice I - Zelené Předměstí</t>
  </si>
  <si>
    <t>https://goo.gl/fZZnfs</t>
  </si>
  <si>
    <t>Pardubický pivovar a.s.</t>
  </si>
  <si>
    <t>Granát, Klasik, Kovář, Kvasňák, Ozzobír, Pernštejn, Porter, Premium, Taxis, Vilém</t>
  </si>
  <si>
    <t>Pivovarská restaurace</t>
  </si>
  <si>
    <t>N 50°2.15567'. E 15°45.68440'</t>
  </si>
  <si>
    <t>Pikard</t>
  </si>
  <si>
    <t>Zámecký pivovar Pikard</t>
  </si>
  <si>
    <t>Ostrava - Zábřeh</t>
  </si>
  <si>
    <t>U Zámku 42/1, Ostrava-Jih - Zábřeh</t>
  </si>
  <si>
    <t>https://goo.gl/nWXadK</t>
  </si>
  <si>
    <t>Zámek Zábřeh s.r.o.</t>
  </si>
  <si>
    <t>Zámecká restaurace Zábřeh</t>
  </si>
  <si>
    <t>https://flic.kr/s/aHskvKNJx4</t>
  </si>
  <si>
    <t>N 49°48.44102'. E 18°14.40240'</t>
  </si>
  <si>
    <t>Plzeňský Prazdroj</t>
  </si>
  <si>
    <t>Pivovar Plzeňský Prazdroj</t>
  </si>
  <si>
    <t>Plzeň - Východní Předměstí</t>
  </si>
  <si>
    <t>U Prazdroje 64/7, Plzeň 3 - Východní Předměstí</t>
  </si>
  <si>
    <t>https://goo.gl/LQXR7i</t>
  </si>
  <si>
    <t>Asahi</t>
  </si>
  <si>
    <t>Plzeňský Prazdroj a.s.</t>
  </si>
  <si>
    <t>Fénix, Gambrinus, Master, Pilsner Urquell, Primus</t>
  </si>
  <si>
    <t>N 49°44.86167'. E 13°23.24137'</t>
  </si>
  <si>
    <t>Mělník</t>
  </si>
  <si>
    <t>Protivín</t>
  </si>
  <si>
    <t>Pivovar Protivín</t>
  </si>
  <si>
    <t>Pivovar 168, Protivín</t>
  </si>
  <si>
    <t>https://www.facebook.com/PivovarProtivin</t>
  </si>
  <si>
    <t>https://goo.gl/rLmHYW</t>
  </si>
  <si>
    <t>Pivovary Lobkowicz, a.s. - Pivovar Protivín a.s.</t>
  </si>
  <si>
    <t>Lobkowicz, Merlin, Platan, Prácheňská perla, Protivínský Granát, Schwarzenberg</t>
  </si>
  <si>
    <t>N 49°12.27637'. E 14°13.05942'</t>
  </si>
  <si>
    <t>Poddžbánský</t>
  </si>
  <si>
    <t>Poddžbánský pivovar</t>
  </si>
  <si>
    <t>Mutějovice</t>
  </si>
  <si>
    <t>Velká Strana 75, Mutějovice</t>
  </si>
  <si>
    <t>https://goo.gl/sdShB8</t>
  </si>
  <si>
    <t>Kuger s.r.o.</t>
  </si>
  <si>
    <t>Poddžbánské, Rudý Baron</t>
  </si>
  <si>
    <t>N 50°11.62627'. E 13°42.48202'</t>
  </si>
  <si>
    <t>Semily</t>
  </si>
  <si>
    <t>Tanvald</t>
  </si>
  <si>
    <t>Podhorský</t>
  </si>
  <si>
    <t>Podhorský pivovar</t>
  </si>
  <si>
    <t>Náměstí 1, Frýdlant nad Ostravicí - Frýdlant</t>
  </si>
  <si>
    <t>https://goo.gl/MQqLvW</t>
  </si>
  <si>
    <t>MORAVSTAV OSTRAVA, spol. s r.o.</t>
  </si>
  <si>
    <t>Podhorské</t>
  </si>
  <si>
    <t>Hotel Beskyd</t>
  </si>
  <si>
    <t>https://www.facebook.com/media/set/?set=a.310144265789288.1073741845.282498931887155&amp;type=1&amp;l=e98be41564</t>
  </si>
  <si>
    <t>N 49°35.61852'. E 18°21.56917'</t>
  </si>
  <si>
    <t>Náchod</t>
  </si>
  <si>
    <t>Pánů z Růže</t>
  </si>
  <si>
    <t>Pivovárek Pánů z Růže</t>
  </si>
  <si>
    <t>Jindřichův Hradec</t>
  </si>
  <si>
    <t>Vídeňská 159, Jindřichův Hradec - Jindřichův Hradec III</t>
  </si>
  <si>
    <t>https://www.facebook.com/Pivovárek-pánů-z-Růže-Jindřichův-Hradec-135750843232781</t>
  </si>
  <si>
    <t>https://goo.gl/gsQwov</t>
  </si>
  <si>
    <t>EOK Australian Czech s.r.o.</t>
  </si>
  <si>
    <t>Přestěhoval se do Židovic</t>
  </si>
  <si>
    <t>Jindřich, Vítek</t>
  </si>
  <si>
    <t>https://flic.kr/s/aHsmgQEVCb</t>
  </si>
  <si>
    <t>N 49°8.31097'. E 15°0.52128'</t>
  </si>
  <si>
    <t>Podkováň</t>
  </si>
  <si>
    <t>Pivovar Podkováň</t>
  </si>
  <si>
    <t>Kováň</t>
  </si>
  <si>
    <t>Kováň 21, Kováň</t>
  </si>
  <si>
    <t>Lipník nad Bečvou</t>
  </si>
  <si>
    <t>https://goo.gl/HJE5CJ</t>
  </si>
  <si>
    <t>Podkováň s.r.o.</t>
  </si>
  <si>
    <t>N 50°25.13982'. E 14°46.97183'</t>
  </si>
  <si>
    <t>Polička</t>
  </si>
  <si>
    <t>Měšťanský pivovar v Poličce</t>
  </si>
  <si>
    <t>Pivovarská 151, Polička - Dolní Předměstí</t>
  </si>
  <si>
    <t>https://goo.gl/UhheX3</t>
  </si>
  <si>
    <t>Měšťanský pivovar v Poličce a.s.</t>
  </si>
  <si>
    <t>Eliška, František Bittner, Hradební, Otakar, Záviš</t>
  </si>
  <si>
    <t>N 49°42.64962'. E 16°15.59910'</t>
  </si>
  <si>
    <t>Pivovar Nymburk</t>
  </si>
  <si>
    <t>Pražská 581/22, Nymburk</t>
  </si>
  <si>
    <t>https://goo.gl/Adhfxv</t>
  </si>
  <si>
    <t>Pivovar Nymburk spol. s.r.o.</t>
  </si>
  <si>
    <t>V plánu výstavba vlastní restaurace v areálu pivovaru</t>
  </si>
  <si>
    <t>Bogan, Čokoládové, Gold Bohemia Beer, Francinův, Grešlák, Jubilejní Hrabalův, Něžný Barbar, Nymburk, Pepinova desítka, Postřižinské, Staročech</t>
  </si>
  <si>
    <t>https://flic.kr/s/aHsme9F67K</t>
  </si>
  <si>
    <t>N 50°10.72827'. E 15°2.29185'</t>
  </si>
  <si>
    <t>Poutník</t>
  </si>
  <si>
    <t>Pivovar Poutník</t>
  </si>
  <si>
    <t>Pivovarská 856, Pelhřimov</t>
  </si>
  <si>
    <t>https://goo.gl/YSj2Ed</t>
  </si>
  <si>
    <t>DUP - družstvo Pelhřimov</t>
  </si>
  <si>
    <t>N 49°25.83800'. E 15°13.23000'</t>
  </si>
  <si>
    <t>Boršov</t>
  </si>
  <si>
    <t>Pivovar Boršov</t>
  </si>
  <si>
    <t>Betlémská 286/5, Praha 1 - Staré Město</t>
  </si>
  <si>
    <t>https://goo.gl/DNKHw7</t>
  </si>
  <si>
    <t>Tezej s.r.o.</t>
  </si>
  <si>
    <t>Nástupce pivovaru "Pražský most u Valšů"</t>
  </si>
  <si>
    <t>(Pražský most), Boršovské, Slavovar</t>
  </si>
  <si>
    <t>N 50°5.01847'. E 14°24.88057'</t>
  </si>
  <si>
    <t>Pivovar Náchod</t>
  </si>
  <si>
    <t>Dobrošovská 130, Náchod</t>
  </si>
  <si>
    <t>https://goo.gl/cgcwYh</t>
  </si>
  <si>
    <t>LIF Holding</t>
  </si>
  <si>
    <t>Primátor a.s.</t>
  </si>
  <si>
    <t>Antonín, Diamant, Evergreen, Hron, Primátor, Rytířský, Špringl</t>
  </si>
  <si>
    <t>N 50°24.89617'. E 16°10.27643'</t>
  </si>
  <si>
    <t>Chyše</t>
  </si>
  <si>
    <t>Zámecký pivovar Chyše</t>
  </si>
  <si>
    <t>Chyše 54, Chyše</t>
  </si>
  <si>
    <t>https://goo.gl/mPvbSg</t>
  </si>
  <si>
    <t>Májový, Prokop, Proškovo pivo</t>
  </si>
  <si>
    <t>N 50°6.33720'. E 13°14.85588'</t>
  </si>
  <si>
    <t>Propper</t>
  </si>
  <si>
    <t>Rodinný pivovar Propper</t>
  </si>
  <si>
    <t>Praskačka</t>
  </si>
  <si>
    <t>Praskačka 71, Praskačka</t>
  </si>
  <si>
    <t>https://goo.gl/RnSUX1</t>
  </si>
  <si>
    <t>https://goo.gl/GwE6GX</t>
  </si>
  <si>
    <t>5P Brand Production spol. s r.o.</t>
  </si>
  <si>
    <t>Black bird, Propper, Rakytníkové</t>
  </si>
  <si>
    <t>N 50°10.57788'. E 15°44.49468'</t>
  </si>
  <si>
    <t>Purkmistr</t>
  </si>
  <si>
    <t>Pivovar Purkmistr</t>
  </si>
  <si>
    <t>Plzeň - Černice</t>
  </si>
  <si>
    <t>Selská náves 21/2, Plzeň 8 - Černice</t>
  </si>
  <si>
    <t>Zábřeh</t>
  </si>
  <si>
    <t>Zámecký pivovar Zábřeh</t>
  </si>
  <si>
    <t>https://goo.gl/Tsn8JH</t>
  </si>
  <si>
    <t>Lukrécius a.s.</t>
  </si>
  <si>
    <t>Černice, Písař, Purkmistr</t>
  </si>
  <si>
    <t>N 49°41.93032'. E 13°24.84243'</t>
  </si>
  <si>
    <t>Pivovarský dům</t>
  </si>
  <si>
    <t>Pivovarský dům Ostrava</t>
  </si>
  <si>
    <t>Přívozská 367/34, Ostrava - Moravská Ostrava a Přívoz</t>
  </si>
  <si>
    <t>https://www.facebook.com/PilsnerUrquellCzech</t>
  </si>
  <si>
    <t>https://goo.gl/ucCTU3</t>
  </si>
  <si>
    <t>Původní název - Biovar, dvě hospody s vlastním pivem i s rotujícími pípami, Aliance P.I.V.</t>
  </si>
  <si>
    <t>Blackdog, Dorka, Dráb, Firedog, Kunětický Hejkal, Lejla, Qásek, ShpeQ, Šumperský svišť, Trigo, Venda, Vidle, Voko</t>
  </si>
  <si>
    <t>Hobit club, U Skákavého poníka</t>
  </si>
  <si>
    <t>N 49°50.40117'. E 18°17.31130'</t>
  </si>
  <si>
    <t>https://www.facebook.com/PivoPlatan</t>
  </si>
  <si>
    <t>Radegast</t>
  </si>
  <si>
    <t>Pivovar Radegast</t>
  </si>
  <si>
    <t>Nošovice</t>
  </si>
  <si>
    <t>Nošovice 238, Nošovice</t>
  </si>
  <si>
    <t>Písek</t>
  </si>
  <si>
    <t>https://goo.gl/CHTCjt</t>
  </si>
  <si>
    <t>Klasik, Letní Krýgl, Original, Peprně hořký, Premium, Radegast, Ryze hořká, Temně hořký</t>
  </si>
  <si>
    <t>N 49°39.70013'. E 18°25.68318'</t>
  </si>
  <si>
    <t>Radniční</t>
  </si>
  <si>
    <t>Jihlavský radniční právovárečný pivovar</t>
  </si>
  <si>
    <t>Masarykovo náměstí 100/66, Jihlava</t>
  </si>
  <si>
    <t>2013 / 2018</t>
  </si>
  <si>
    <t>https://goo.gl/hoZoNV</t>
  </si>
  <si>
    <t>Fabes s.r.o.</t>
  </si>
  <si>
    <t>I jedna rotující pípa</t>
  </si>
  <si>
    <t>Black Roof, Ignác, I love you Honey Bunny, Jiskra, Lumberjack, PRIO-R, Radniční, Single Hop, Tadeáš, Zikmund, Zuzana</t>
  </si>
  <si>
    <t>Radniční restaurace</t>
  </si>
  <si>
    <t>N 49°23.78100'. E 15°35.45647'</t>
  </si>
  <si>
    <t>Radnice</t>
  </si>
  <si>
    <t>Minipivovar Radnice</t>
  </si>
  <si>
    <t>Puchmajerova 606, Radnice</t>
  </si>
  <si>
    <t>2013 / 2015</t>
  </si>
  <si>
    <t>https://goo.gl/GimoRA</t>
  </si>
  <si>
    <t>Radnická</t>
  </si>
  <si>
    <t>Pivovarská pivnice</t>
  </si>
  <si>
    <t>https://flic.kr/s/aHsmgFskDi</t>
  </si>
  <si>
    <t>N 49°51.40662'. E 13°36.80008'</t>
  </si>
  <si>
    <t>Radouš</t>
  </si>
  <si>
    <t>Pivovar Radouš</t>
  </si>
  <si>
    <t>Šťáhlavy</t>
  </si>
  <si>
    <t>Náves republiky 55, Šťáhlavy</t>
  </si>
  <si>
    <t>https://goo.gl/62t6CE</t>
  </si>
  <si>
    <t>Brutus Beer, Crazy Jamaica, Dr. Čížek, Pilsner Ilgner, Radoush, Radouš, Šťáhlavská, The Only Element, Viliem Šejkspír</t>
  </si>
  <si>
    <t>https://flic.kr/s/aHsmc3WS6A</t>
  </si>
  <si>
    <t>N 49°40.53570'. E 13°30.22980'</t>
  </si>
  <si>
    <t>Dobruška</t>
  </si>
  <si>
    <t>Rodinný pivovar Dobruška</t>
  </si>
  <si>
    <t>Křovická 267, Dobruška</t>
  </si>
  <si>
    <t>https://goo.gl/B2RXjT</t>
  </si>
  <si>
    <t>Staročeský pivovárek, s.r.o.</t>
  </si>
  <si>
    <t>Dobrušské, F.L.Věk, Muderlant, Rampušák</t>
  </si>
  <si>
    <t>Pivovarská sklepní restaurace (jen pro soukromé a společenské akce), Bowling bar</t>
  </si>
  <si>
    <t>https://www.facebook.com/media/set/?set=a.382998641837183.1073741859.282498931887155&amp;type=1&amp;l=217b5bbcbd</t>
  </si>
  <si>
    <t>N 50°17.68523'. E 16°9.73332'</t>
  </si>
  <si>
    <t>Ratíškovice</t>
  </si>
  <si>
    <t>Pivovar Ratíškovice</t>
  </si>
  <si>
    <t>Vítězná 1220, Ratíškovice</t>
  </si>
  <si>
    <t>https://goo.gl/ekvqsN</t>
  </si>
  <si>
    <t>Na mlýně Ratíškovice</t>
  </si>
  <si>
    <t>Granát, Ratíškovický</t>
  </si>
  <si>
    <t>Na Mlýně</t>
  </si>
  <si>
    <t>https://flic.kr/s/aHskug9tVa</t>
  </si>
  <si>
    <t>N 48°55.07112'. E 17°9.63113'</t>
  </si>
  <si>
    <t>2008 / 2018</t>
  </si>
  <si>
    <t>Měšťanský pivovar Havlíčkův Brod</t>
  </si>
  <si>
    <t>Měšťanský pivovar Havlíčkův Brod a.s.</t>
  </si>
  <si>
    <t>Drsoň, Haškův C.K. Rebel, Hradecká, Hradecký Votrok, Karlovec, Rebel, Svitavák, Tudor</t>
  </si>
  <si>
    <t>Pivovarská krčma</t>
  </si>
  <si>
    <t>N 49°36.60893'. E 15°34.60032'</t>
  </si>
  <si>
    <t>Regent</t>
  </si>
  <si>
    <t>Pivovar Bohemia Regent</t>
  </si>
  <si>
    <t>Třeboň</t>
  </si>
  <si>
    <t>Trocnovské nám. 124, Třeboň - Třeboň I</t>
  </si>
  <si>
    <t>https://goo.gl/81kTJ8</t>
  </si>
  <si>
    <t>Bohemia Regent a.s.</t>
  </si>
  <si>
    <t>Bohemia Regent, Český Granát, Kníže, Lady Vanilla, Pivo Petra Voka, Prezident, Regent, Schwarzenbergské</t>
  </si>
  <si>
    <t>N 49°0.14723'. E 14°46.35337'</t>
  </si>
  <si>
    <t>2012 / 2018</t>
  </si>
  <si>
    <t>Richard</t>
  </si>
  <si>
    <t>Minipivovar Richard Žebětín</t>
  </si>
  <si>
    <t>Brno - Žebětín</t>
  </si>
  <si>
    <t>Ríšova 64/12, Brno - Žebětín</t>
  </si>
  <si>
    <t>https://flic.kr/s/aHsmdCzfQ5</t>
  </si>
  <si>
    <t>https://goo.gl/GHosZi</t>
  </si>
  <si>
    <t>KOBZIK, s.r.o.</t>
  </si>
  <si>
    <t>N 49°12.44352'. E 16°29.03543'</t>
  </si>
  <si>
    <t>U Bulovky</t>
  </si>
  <si>
    <t>Pivovar u Bulovky</t>
  </si>
  <si>
    <t>Praha - Bulovka</t>
  </si>
  <si>
    <t>Bulovka 373/17, Praha 8 - Libeň</t>
  </si>
  <si>
    <t>https://goo.gl/oduhYB</t>
  </si>
  <si>
    <t>Jaroslava a František Richter - Pivovar u Bulovky (P.U.B.)</t>
  </si>
  <si>
    <t>Libeňský, Richter</t>
  </si>
  <si>
    <t>N 50°6.91630'. E 14°27.97742'</t>
  </si>
  <si>
    <t>Rohan</t>
  </si>
  <si>
    <t>Rohovský minipivovar Rohan</t>
  </si>
  <si>
    <t>Rohov</t>
  </si>
  <si>
    <t>Slezská 86, Rohov</t>
  </si>
  <si>
    <t>https://goo.gl/8tXnZr</t>
  </si>
  <si>
    <t>Rohovský minipivovar - Restaurace U Komárků</t>
  </si>
  <si>
    <t>Restaurace U Komárků</t>
  </si>
  <si>
    <t>N 50°0.91950'. E 18°4.38217'</t>
  </si>
  <si>
    <t>Rožnovský</t>
  </si>
  <si>
    <t>Rožnovský pivovar</t>
  </si>
  <si>
    <t>Rožnov pod Radhoštěm</t>
  </si>
  <si>
    <t>Pivovarská 6, Rožnov pod Radhoštěm</t>
  </si>
  <si>
    <t>https://goo.gl/kxdFP6</t>
  </si>
  <si>
    <t>Rožnovské pivní lázně s.r.o.</t>
  </si>
  <si>
    <t>Baron Popper, Bruno, Čert, Habsburg, Radhošť, Rothschild, Rožnov, Rožnovské, Rytíř Gutmann, Žerotín</t>
  </si>
  <si>
    <t>N 49°27.40380'. E 18°8.21022'</t>
  </si>
  <si>
    <t>Ruprenz</t>
  </si>
  <si>
    <t>Pivovar Ruprenz</t>
  </si>
  <si>
    <t>Uhříňovice</t>
  </si>
  <si>
    <t>Uhřínovice 26, Brtnice - Uhřínovice</t>
  </si>
  <si>
    <t>https://goo.gl/Vj12HN</t>
  </si>
  <si>
    <t>Martin Povýšil</t>
  </si>
  <si>
    <t>California Dream, Jantar, Ruprenz, Vánoční inspirace</t>
  </si>
  <si>
    <t>N 49°19.10880'. E 15°38.72328'</t>
  </si>
  <si>
    <t>Rychnov nad Kněžnou</t>
  </si>
  <si>
    <t>Městský Podorlický pivovar Rychnov nad Kněžnou</t>
  </si>
  <si>
    <t>Kaštany 435, Rychnov nad Kněžnou</t>
  </si>
  <si>
    <t>Rokycany</t>
  </si>
  <si>
    <t>https://goo.gl/p7ngMQ</t>
  </si>
  <si>
    <t>Městský Podorlický pivovar s.r.o.</t>
  </si>
  <si>
    <t>Habrovák, Kaštan, Kněžna, Kvardian, Zilvar</t>
  </si>
  <si>
    <t>Pivní šenk</t>
  </si>
  <si>
    <t>https://flic.kr/s/aHskwAkvHN</t>
  </si>
  <si>
    <t>N 50°10.29420'. E 16°16.71900'</t>
  </si>
  <si>
    <t>Rychtář</t>
  </si>
  <si>
    <t>Pivovar Rychtář</t>
  </si>
  <si>
    <t>Hlinsko v Čechách</t>
  </si>
  <si>
    <t>Resslova 260, Hlinsko</t>
  </si>
  <si>
    <t>https://goo.gl/Lvm36v</t>
  </si>
  <si>
    <t>Pivovary Lobkowicz, a.s. - Pivovar Rychtář</t>
  </si>
  <si>
    <t>Fojt, Grunt, Hlinecké, Natur, Premium, Rataj, Rychtář</t>
  </si>
  <si>
    <t>N 49°45.60132'. E 15°54.89640'</t>
  </si>
  <si>
    <t>http://www.pivovardobruska.cz</t>
  </si>
  <si>
    <t>Samson</t>
  </si>
  <si>
    <t>Pivovar Samson</t>
  </si>
  <si>
    <t>Lidická tř. 458/51, České Budějovice - České Budějovice 7</t>
  </si>
  <si>
    <t>https://www.facebook.com/samson1795</t>
  </si>
  <si>
    <t>https://goo.gl/ZwQj8J</t>
  </si>
  <si>
    <t>Anheuser Busch Inbev</t>
  </si>
  <si>
    <t>AB Inbev - Pivovar Samson a.s.</t>
  </si>
  <si>
    <t>Dianello, Samson</t>
  </si>
  <si>
    <t>N 48°57.83832'. E 14°28.47552'</t>
  </si>
  <si>
    <t>Rambousek</t>
  </si>
  <si>
    <t>Pivovar Rambousek</t>
  </si>
  <si>
    <t>Pivovarské náměstí 1245/2, Hradec Králové</t>
  </si>
  <si>
    <t>http://www.rambousek.wz.cz</t>
  </si>
  <si>
    <t>https://goo.gl/NVnYm1</t>
  </si>
  <si>
    <t>Party-pivovar Rambousek - Regiocentrum Nový pivovar</t>
  </si>
  <si>
    <t>Technologie přesunuta do pivovaru Pardubice, kde funguje jako pokusná varna pod názvem "Minipivovar Arnošt"</t>
  </si>
  <si>
    <t>Eliščino Královské, Flieger, Hradecké bílé, Rambousek</t>
  </si>
  <si>
    <t>N 50°12.49183'. E 15°49.74045'</t>
  </si>
  <si>
    <t>Santon</t>
  </si>
  <si>
    <t>Pivovar Santon</t>
  </si>
  <si>
    <t>Ponětovice</t>
  </si>
  <si>
    <t>Ponětovice 50, Ponětovice</t>
  </si>
  <si>
    <t>https://goo.gl/DVpskn</t>
  </si>
  <si>
    <t>RNDr. Zbyněk Kadlc</t>
  </si>
  <si>
    <t>Dříve sídlil v Měníně: N 49°5.48887', E 16°41.31918'</t>
  </si>
  <si>
    <t>N 49°9.18780'. E 16°44.54957'</t>
  </si>
  <si>
    <t>Rohozec</t>
  </si>
  <si>
    <t>Pivovar Rohozec</t>
  </si>
  <si>
    <t>Malý Rohozec</t>
  </si>
  <si>
    <t>Malý Rohozec 29, Turnov - Malý Rohozec</t>
  </si>
  <si>
    <t>https://goo.gl/UNBUWQ</t>
  </si>
  <si>
    <t>Pivovar Rohozec a.s.</t>
  </si>
  <si>
    <t>Dvanáctka, Čurdův ležák, Iks, Malina, Podskalák, Prometheus, Rohozec, Skaláczech, Skalák, Třináctka, Ypsilon</t>
  </si>
  <si>
    <t>N 50°36.62300'. E 15°8.84738'</t>
  </si>
  <si>
    <t>Skřečoňský žabák</t>
  </si>
  <si>
    <t>Minipivovar Skřečoňský žabák</t>
  </si>
  <si>
    <t>Bohumín - Skřečoň</t>
  </si>
  <si>
    <t>Blatná 554, Bohumín - Skřečoň</t>
  </si>
  <si>
    <t>https://goo.gl/s7Lz1N</t>
  </si>
  <si>
    <t>Marián Janoszowski</t>
  </si>
  <si>
    <t>N 49°53.95248'. E 18°22.42327'</t>
  </si>
  <si>
    <t>Slavkovský</t>
  </si>
  <si>
    <t>Slavkovský pivovar</t>
  </si>
  <si>
    <t>Slavkov u Brna</t>
  </si>
  <si>
    <t>U Mlýna 1422, Slavkov u Brna</t>
  </si>
  <si>
    <t>Rohovský minipivovar U Komárků</t>
  </si>
  <si>
    <t>https://goo.gl/4LVL9U</t>
  </si>
  <si>
    <t>Slavkovský pivovar, s.r.o.</t>
  </si>
  <si>
    <t>Austerlitz, Biére de l´Empereur, Proskovec, Slavkovská, Slavkovské bílé, Slavkovský</t>
  </si>
  <si>
    <t>https://flic.kr/s/aHsm817TgE</t>
  </si>
  <si>
    <t>N 49°8.97918'. E 16°53.32357'</t>
  </si>
  <si>
    <t>https://flic.kr/s/aHsmj5KEHj</t>
  </si>
  <si>
    <t>Slepý krtek</t>
  </si>
  <si>
    <t>Minipivovar Slepý krtek Ujkovice</t>
  </si>
  <si>
    <t>Ujkovice</t>
  </si>
  <si>
    <t>Ujkovice 52, Ujkovice</t>
  </si>
  <si>
    <t>Kravaře</t>
  </si>
  <si>
    <t>https://goo.gl/i795ub</t>
  </si>
  <si>
    <t>Marek Havlas</t>
  </si>
  <si>
    <t>N 50°21.75228'. E 15°5.74920'</t>
  </si>
  <si>
    <t>Slezan</t>
  </si>
  <si>
    <t>Minipivovar Slezan</t>
  </si>
  <si>
    <t>Leskovec - Kasárna</t>
  </si>
  <si>
    <t>https://goo.gl/q6Pwmc</t>
  </si>
  <si>
    <t>IRB Trade s.r.o.</t>
  </si>
  <si>
    <t>https://flic.kr/s/aHskui5gxR</t>
  </si>
  <si>
    <t>Brtnice</t>
  </si>
  <si>
    <t>N 49°47.06857'. E 17°54.83025'</t>
  </si>
  <si>
    <t>Starobrno</t>
  </si>
  <si>
    <t>Pivovar Starobrno</t>
  </si>
  <si>
    <t>Brno - Staré Brno</t>
  </si>
  <si>
    <t>Hlinky 160/12, Brno-střed - Staré Brno</t>
  </si>
  <si>
    <t>https://goo.gl/i9cmFn</t>
  </si>
  <si>
    <t>Heineken ČR, a.s. - Starobrno a.s.</t>
  </si>
  <si>
    <t>Baron Trenck, Drak, Hostan, Medák, Medium, Modrá Kometa, Reserva, Starobrno, Svatováclavské</t>
  </si>
  <si>
    <t>N 49°11.46168'. E 16°35.50583'</t>
  </si>
  <si>
    <t>Starokladno</t>
  </si>
  <si>
    <t>Pivovar Starokladno</t>
  </si>
  <si>
    <t>Čs. armády 3230, Kladno</t>
  </si>
  <si>
    <t>https://goo.gl/UqXgtU</t>
  </si>
  <si>
    <t>Starokladenský městský pivovar U Kozlíků</t>
  </si>
  <si>
    <t>Bohouš, Cikánský Baron, Černý Havíř, Dobrák z Velké Dobré, Floutek, Kladenský hasič, Kladeňák, Ležák Mistra Taviče, Ležák Starosty Pavla, Marshal, Mazlíček, Rytíř, Spitfire, Starokladno, Štajgr, žIPA</t>
  </si>
  <si>
    <t>U Kozlíků</t>
  </si>
  <si>
    <t>https://flic.kr/s/aHsmi7fung</t>
  </si>
  <si>
    <t>N 50°8.69518'. E 14°5.54637'</t>
  </si>
  <si>
    <t>Staropramen</t>
  </si>
  <si>
    <t>Pivovar Staropramen</t>
  </si>
  <si>
    <t>Praha - Smíchov</t>
  </si>
  <si>
    <t>Nádražní 43/84, Praha 5 - Smíchov</t>
  </si>
  <si>
    <t>https://goo.gl/Fgy6Fg</t>
  </si>
  <si>
    <t>Molson Coors Brewing Company</t>
  </si>
  <si>
    <t>Braník, Déčko, Granát, Jedenáctka, Sládkův Měšťan, Stella Artois, Staropramen, Velvet</t>
  </si>
  <si>
    <t>N 50°4.11693'. E 14°24.45392'</t>
  </si>
  <si>
    <t>U Stočesů</t>
  </si>
  <si>
    <t>Minipivovar U Stočesů</t>
  </si>
  <si>
    <t>Sokolská 282, Rokycany - Plzeňské Předměstí</t>
  </si>
  <si>
    <t>Hlinsko</t>
  </si>
  <si>
    <t>https://goo.gl/Bsh1Wc</t>
  </si>
  <si>
    <t>100čes s.r.o.</t>
  </si>
  <si>
    <t>Harcíř, Hutník, Řepiš, Stočeská, Weizengrimm</t>
  </si>
  <si>
    <t>Pivnice U Stočesů</t>
  </si>
  <si>
    <t>https://flic.kr/s/aHsme1wfeP</t>
  </si>
  <si>
    <t>N 49°44.28432'. E 13°35.10600'</t>
  </si>
  <si>
    <t>Studánka</t>
  </si>
  <si>
    <t>Minipivovar Studánka</t>
  </si>
  <si>
    <t>Liberec - Krásná Studánka</t>
  </si>
  <si>
    <t>Albrechtická 227, Liberec XXXI - Krásná Studánka</t>
  </si>
  <si>
    <t>https://goo.gl/6JnF7b</t>
  </si>
  <si>
    <t>Pivovar Studánka</t>
  </si>
  <si>
    <t>Gallasův ležák, Studánecký Antal, Studánecký Flik</t>
  </si>
  <si>
    <t>N 50°48.63727'. E 15°1.89270'</t>
  </si>
  <si>
    <t>2002 / 2016</t>
  </si>
  <si>
    <t>Strahov</t>
  </si>
  <si>
    <t>Klášterní pivovar Strahov</t>
  </si>
  <si>
    <t>Praha - Strahov</t>
  </si>
  <si>
    <t>Strahovské nádvoří 301/10, Praha 1 - Hradčany</t>
  </si>
  <si>
    <t>https://goo.gl/J33Jgg</t>
  </si>
  <si>
    <t>LEV CZ a.s.</t>
  </si>
  <si>
    <t>Antidepressant, Sv. Norbert</t>
  </si>
  <si>
    <t>N 50°5.21278'. E 14°23.31020'</t>
  </si>
  <si>
    <t>Šlapanice</t>
  </si>
  <si>
    <t>Svatokopecký</t>
  </si>
  <si>
    <t>Svatokopecký pivovar</t>
  </si>
  <si>
    <t>Olomouc - Svatý Kopeček</t>
  </si>
  <si>
    <t>Krejčího 122/4, Olomouc - Svatý Kopeček</t>
  </si>
  <si>
    <t>https://goo.gl/gYL7FW</t>
  </si>
  <si>
    <t>Arcivánoční, Arcivévoda, Čmoud, Hanibal, J.W., Karel, Yankee</t>
  </si>
  <si>
    <t>N 49°37.83553'. E 17°20.34233'</t>
  </si>
  <si>
    <t>Svatováclavský</t>
  </si>
  <si>
    <t>Svatováclavský pivovar</t>
  </si>
  <si>
    <t>Mariánská 845/4, Olomouc</t>
  </si>
  <si>
    <t>2006 - 2008, 2010</t>
  </si>
  <si>
    <t>https://goo.gl/U92BMJ</t>
  </si>
  <si>
    <t>Svatováclavský pivovar s.r.o.</t>
  </si>
  <si>
    <t>V letech 2006 až 2008 pivovar sídlil na adrese Riegrova 22</t>
  </si>
  <si>
    <t>Sv. Pavlína, Svatováclavská, Tmavé pivo pana Bruna</t>
  </si>
  <si>
    <t>N 49°35.75202'. E 17°15.52260'</t>
  </si>
  <si>
    <t>Svatovar</t>
  </si>
  <si>
    <t>První soukromý pivovar společenský v Lipníku</t>
  </si>
  <si>
    <t>Turnov</t>
  </si>
  <si>
    <t>Novosady 164, Lipník nad Bečvou I - Město</t>
  </si>
  <si>
    <t>https://goo.gl/wxim8Q</t>
  </si>
  <si>
    <t>První soukromý pivovar společenský v Lipníku s.r.o.</t>
  </si>
  <si>
    <t>N 49°31.59713'. E 17°35.35207'</t>
  </si>
  <si>
    <t>Svatý Florian</t>
  </si>
  <si>
    <t>Rodinný pivovar Svatý Florian</t>
  </si>
  <si>
    <t>Loket</t>
  </si>
  <si>
    <t>T. G. Masaryka 136/81, Loket</t>
  </si>
  <si>
    <t>https://goo.gl/6wojcm</t>
  </si>
  <si>
    <t>Bohumín</t>
  </si>
  <si>
    <t>Ivana Lojínová</t>
  </si>
  <si>
    <t>Florian, Longin</t>
  </si>
  <si>
    <t>https://www.facebook.com/media/set/?set=a.339380906198957.1073741851.282498931887155&amp;type=1&amp;l=85c81a3060</t>
  </si>
  <si>
    <t>N 50°11.20567'. E 12°45.16583'</t>
  </si>
  <si>
    <t>Svatý Ján</t>
  </si>
  <si>
    <t>Pivovar Svatý Ján</t>
  </si>
  <si>
    <t>Polepy</t>
  </si>
  <si>
    <t>Polepy 232, Polepy</t>
  </si>
  <si>
    <t>https://goo.gl/eos22b</t>
  </si>
  <si>
    <t>Ing. Martin Karaivanov</t>
  </si>
  <si>
    <t>Fešák, Mamba, Mates, Mazel, Oliver, Povstalec</t>
  </si>
  <si>
    <t>N 50°0.19597'. E 15°12.51882'</t>
  </si>
  <si>
    <t>Svijany</t>
  </si>
  <si>
    <t>Pivovar Svijany</t>
  </si>
  <si>
    <t>Svijany 25, Svijany</t>
  </si>
  <si>
    <t>https://goo.gl/JUZJfZ</t>
  </si>
  <si>
    <t>Vyškov</t>
  </si>
  <si>
    <t>Pivovar Svijany a.s.</t>
  </si>
  <si>
    <t>Baron, Fanda, Kněžna, Kníže, Kvasničák, Máz, Rytíř, Svijanská Desítka</t>
  </si>
  <si>
    <t>N 50°34.34980'. E 15°3.24385'</t>
  </si>
  <si>
    <t>Syrovar</t>
  </si>
  <si>
    <t>Rodinný minipivovar Syrovar</t>
  </si>
  <si>
    <t>Syrovín</t>
  </si>
  <si>
    <t>Syrovín 31, Syrovín</t>
  </si>
  <si>
    <t>https://goo.gl/HbbEMC</t>
  </si>
  <si>
    <t>Vojtěch Kolaja</t>
  </si>
  <si>
    <t>Galaxy S, Herkules, Pacific, Syrovar, Žízeň</t>
  </si>
  <si>
    <t>https://flic.kr/s/aHskug5bYx</t>
  </si>
  <si>
    <t>N 49°1.58955'. E 17°15.82782'</t>
  </si>
  <si>
    <t>Minipivovar Pivovarský dům</t>
  </si>
  <si>
    <t>Lípová 511/15, Praha 2 - Nové Město</t>
  </si>
  <si>
    <t>https://goo.gl/tcVeSr</t>
  </si>
  <si>
    <t>Pivovarský dům, s.r.o.</t>
  </si>
  <si>
    <t>Kopřivové, Májový Kozlík, Original, Štěpán, TRAMWAY</t>
  </si>
  <si>
    <t>Pivovarský dům, Pivovarský Klub</t>
  </si>
  <si>
    <t>N 50°4.52148'. E 14°25.42943'</t>
  </si>
  <si>
    <t>Šumavský</t>
  </si>
  <si>
    <t>Šumavský pivovar</t>
  </si>
  <si>
    <t>Steinbrenerova 48, Vimperk - Vimperk I</t>
  </si>
  <si>
    <t>https://goo.gl/3SCjV7</t>
  </si>
  <si>
    <t>Hojdarovi, s.r.o.</t>
  </si>
  <si>
    <t>Vimperský</t>
  </si>
  <si>
    <t>N 49°3.14892'. E 13°46.49707'</t>
  </si>
  <si>
    <t>Kunc</t>
  </si>
  <si>
    <t>Minipivovar Kunc</t>
  </si>
  <si>
    <t>Národní třída 264/10, Hodonín</t>
  </si>
  <si>
    <t>Vítkov</t>
  </si>
  <si>
    <t>Březová</t>
  </si>
  <si>
    <t>https://goo.gl/f7t2Ai</t>
  </si>
  <si>
    <t>Minipivovar Kunc s.r.o.</t>
  </si>
  <si>
    <t>Švihák</t>
  </si>
  <si>
    <t>N 48°51.02430'. E 17°7.65948'</t>
  </si>
  <si>
    <t>Tambor</t>
  </si>
  <si>
    <t>Pivovar Tambor</t>
  </si>
  <si>
    <t>Dvůr Králové nad Labem</t>
  </si>
  <si>
    <t>Raisova 699, Dvůr Králové nad Labem</t>
  </si>
  <si>
    <t>https://goo.gl/tkUqT8</t>
  </si>
  <si>
    <t>EPOS CZ spol.s r.o.</t>
  </si>
  <si>
    <t>J.Jakoubek, Klazar, R.A.Dvorský, Tambor</t>
  </si>
  <si>
    <t>Pivovarská prodejna s posezením</t>
  </si>
  <si>
    <t>N 50°25.18957'. E 15°48.54030'</t>
  </si>
  <si>
    <t>Štramberk</t>
  </si>
  <si>
    <t>Městský pivovar Štramberk</t>
  </si>
  <si>
    <t>Náměstí 5, Štramberk</t>
  </si>
  <si>
    <t>https://goo.gl/q8b7eb</t>
  </si>
  <si>
    <t>Troobacz, Trubač, Ušák</t>
  </si>
  <si>
    <t>N 49°35.46432'. E 18°7.01115'</t>
  </si>
  <si>
    <t>Urban</t>
  </si>
  <si>
    <t>Podklášterní pivovar Urban Třebíč</t>
  </si>
  <si>
    <t>Nad Zámkem 7, Třebíč</t>
  </si>
  <si>
    <t>https://goo.gl/Vc63Qo</t>
  </si>
  <si>
    <t>VARIANT plus, spol. s r.o. - Podklášterní pivovar Třebíč</t>
  </si>
  <si>
    <t>Cornel, Kaplan, Urban</t>
  </si>
  <si>
    <t>N 49°13.04862'. E 15°52.18267'</t>
  </si>
  <si>
    <t>Třebonice</t>
  </si>
  <si>
    <t>Staňkův rukodělný pivovárek Třebonice</t>
  </si>
  <si>
    <t>Praha - Třebonice</t>
  </si>
  <si>
    <t>K Řeporyjím 4, Třebonice</t>
  </si>
  <si>
    <t>https://goo.gl/wm2Kfs</t>
  </si>
  <si>
    <t>Ing. David Staněk</t>
  </si>
  <si>
    <t>Anička, Aranka, Bastard, Bear's Belly, Beruška, Black Foot, Bohatýr, Bohatýr nebe, Crazy Horse, Divá Bára, Dobromila, Druid, Dýměj, Eržika, Fakír, František, Geronimo, Heterák, Kalahari, Kilt, Krvavá Marie, Kwittek, Láteřník, Legionář, Ludmila, Lví srdce, Macho, Mamba, Merlin, Montezuma, Night Reaper, Othmar, Pauliner, Písečná blecha, Písečná bouře, Písečná zmije, Plnící pero, Rejtar, René, Rudovous, Rudý oblak, Samaritán, Samec, Semír, Sherlock, Scharfschütze, Skrblík, Skvrnitý ohon, Sniper, Sokolík, Starej Procházka, Stehlíček, Striga, Švajčiar, U.S., U.S.A.A.F., Uzenáč, Uzenka, Wittek, X, XI</t>
  </si>
  <si>
    <t>Gusta</t>
  </si>
  <si>
    <t>N 50°2.65430'. E 14°16.94488'</t>
  </si>
  <si>
    <t>Karpentná</t>
  </si>
  <si>
    <t>Minipivovar Karpentná</t>
  </si>
  <si>
    <t>Třinec - Karpentná</t>
  </si>
  <si>
    <t>Karpentná 152, Třinec</t>
  </si>
  <si>
    <t>https://goo.gl/cA68je</t>
  </si>
  <si>
    <t>HEGAs-ENERGO, s.r.o.</t>
  </si>
  <si>
    <t>Jantar, Karpentská, Turist</t>
  </si>
  <si>
    <t>Minipivovar Třinec Karpentná</t>
  </si>
  <si>
    <t>https://www.facebook.com/media/set/?set=a.351273975009650.1073741855.282498931887155&amp;type=1&amp;l=e3ec8cb487</t>
  </si>
  <si>
    <t>N 49°38.08867'. E 18°41.14332'</t>
  </si>
  <si>
    <t>U Medvídků</t>
  </si>
  <si>
    <t>Minipivovar U Medvídků</t>
  </si>
  <si>
    <t>Na Perštýně 7, Praha 1 - Staré Město</t>
  </si>
  <si>
    <t>https://goo.gl/GJe1b4</t>
  </si>
  <si>
    <t>O.G., s.r.o.</t>
  </si>
  <si>
    <t>1466, Blackgott, Kaštanové, Medvídek, Medvídkovské bílé, Oldgott, Podzimní, Růženka, X-gott, X-BEER30, X-BEER33, Valentýn</t>
  </si>
  <si>
    <t>N 50°4.97193'. E 14°25.11595'</t>
  </si>
  <si>
    <t>U Tří králů</t>
  </si>
  <si>
    <t>Pivovar U Tří králů</t>
  </si>
  <si>
    <t>Finská 4592/8, Prostějov</t>
  </si>
  <si>
    <t>https://goo.gl/1FrKpS</t>
  </si>
  <si>
    <t>Chmelovi s.r.o.</t>
  </si>
  <si>
    <t>Baltazar, Hanácká pšenica, Kašpar, Melichar, Nopál, Prostějovská Desítka, Švestka, Višeň</t>
  </si>
  <si>
    <t>Koliba U Tří králů</t>
  </si>
  <si>
    <t>https://flic.kr/s/aHsmgXQ7jw</t>
  </si>
  <si>
    <t>N 49°28.32038'. E 17°5.30643'</t>
  </si>
  <si>
    <t>U Tří růží</t>
  </si>
  <si>
    <t>Staroměstský pivovar U Tří růží</t>
  </si>
  <si>
    <t>Husova 10/232, Praha 1 - Staré Město</t>
  </si>
  <si>
    <t>https://goo.gl/XauQpK</t>
  </si>
  <si>
    <t>Energocapital  Praga, s.r.o.</t>
  </si>
  <si>
    <t>Klášterní speciál Svatého Jiljí, U Tří růží</t>
  </si>
  <si>
    <t>N 50°5.13702'. E 14°25.09973'</t>
  </si>
  <si>
    <t>Únětický</t>
  </si>
  <si>
    <t>Únětický pivovar</t>
  </si>
  <si>
    <t>Únětice</t>
  </si>
  <si>
    <t>Rýznerova 19, Únětice</t>
  </si>
  <si>
    <t>https://goo.gl/5XFvib</t>
  </si>
  <si>
    <t>Únětický pivovar a.s.</t>
  </si>
  <si>
    <t>Únětické pivo, Únětický</t>
  </si>
  <si>
    <t>N 50°8.93348', E 14°21.25983'</t>
  </si>
  <si>
    <t>První chodský</t>
  </si>
  <si>
    <t>1. chodský pivovárek na Moravě</t>
  </si>
  <si>
    <t>Šitbořice</t>
  </si>
  <si>
    <t>Osvobození 29, Šitbořice</t>
  </si>
  <si>
    <t>https://www.facebook.com/1.chodsky.pivovarek</t>
  </si>
  <si>
    <t>https://goo.gl/ZeQCa8</t>
  </si>
  <si>
    <t>Bylinková, Hustopečské, Jarní, Kulak, Pivo pro chlapy, Šitbořický radní, Štengarácká</t>
  </si>
  <si>
    <t>N 49°0.84840'. E 16°46.81842'</t>
  </si>
  <si>
    <t>Na Rychtě</t>
  </si>
  <si>
    <t>Pivovar Na Rychtě</t>
  </si>
  <si>
    <t>Kláštěrní 75/9, Ústí nad Labem</t>
  </si>
  <si>
    <t>https://goo.gl/ZNxxZD</t>
  </si>
  <si>
    <t>Gastro Na Rychtě, s.r.o.</t>
  </si>
  <si>
    <t>Brusinka, Mazel, Rychtovar, Ústecká Rychtářka, Ústecký lev, Ústečan, Vojtěch</t>
  </si>
  <si>
    <t>Hotel Na Rychtě</t>
  </si>
  <si>
    <t>https://www.facebook.com/media/set/?set=a.292228184247563.1073741835.282498931887155&amp;type=1&amp;l=1c22672cc8</t>
  </si>
  <si>
    <t>N 50°39.58187'. E 14°2.51608'</t>
  </si>
  <si>
    <t>Valášek</t>
  </si>
  <si>
    <t>Rodinný minipivovar Valášek</t>
  </si>
  <si>
    <t>Dolní Jasenka 190, Vsetín</t>
  </si>
  <si>
    <t>https://goo.gl/qFsh7d</t>
  </si>
  <si>
    <t>Roman Dohnal</t>
  </si>
  <si>
    <t>Valášek, Vsacan</t>
  </si>
  <si>
    <t>Pivovar Valášek</t>
  </si>
  <si>
    <t>https://www.facebook.com/media/set/?set=a.290321844438197.1073741832.282498931887155&amp;type=1&amp;l=ce740abf10</t>
  </si>
  <si>
    <t>N 49°20.55127'. E 17°59.60652'</t>
  </si>
  <si>
    <t>Velké Popovice</t>
  </si>
  <si>
    <t>Pivovar Velké Popovice</t>
  </si>
  <si>
    <t>Ringhofferova 1, Velké Popovice</t>
  </si>
  <si>
    <t>https://goo.gl/qxpWAz</t>
  </si>
  <si>
    <t>Plzeňský Prazdroj a.s. - Pivovar Velké Popovice</t>
  </si>
  <si>
    <t>Florian, Kvasničák, Master, Medium, Premium, Velkopopovický Kozel</t>
  </si>
  <si>
    <t>N 49°55.45868'. E 14°38.08683'</t>
  </si>
  <si>
    <t>Vendelín</t>
  </si>
  <si>
    <t>Rodinný minipivovar Vendelín</t>
  </si>
  <si>
    <t>Liberec - Starý Harcov</t>
  </si>
  <si>
    <t>Lukášovská 43, Liberec XVI - Nový Harcov</t>
  </si>
  <si>
    <t>https://goo.gl/3zmfXk</t>
  </si>
  <si>
    <t>Vendelín Krkoška</t>
  </si>
  <si>
    <t>N 50°45.63768'. E 15°6.75037'</t>
  </si>
  <si>
    <t>Victor</t>
  </si>
  <si>
    <t>Pivovar Victor</t>
  </si>
  <si>
    <t>Praha - Žižkov</t>
  </si>
  <si>
    <t>Husitská 72, Praha 3</t>
  </si>
  <si>
    <t>https://www.facebook.com/pages/Pivovar-Viktor/294949220654373</t>
  </si>
  <si>
    <t>https://goo.gl/5NA59S</t>
  </si>
  <si>
    <t>WRM s.r.o.</t>
  </si>
  <si>
    <t>https://www.facebook.com/media/set/?set=a.290626774407704.1073741834.282498931887155&amp;type=1&amp;l=07ba710634</t>
  </si>
  <si>
    <t>N 50°5.20973'. E 14°27.00623'</t>
  </si>
  <si>
    <t>Taschenberg</t>
  </si>
  <si>
    <t>Pivovar Taschenberg</t>
  </si>
  <si>
    <t>Buštěhrad</t>
  </si>
  <si>
    <t>Palackého 50/2, Buštěhrad</t>
  </si>
  <si>
    <t>https://www.facebook.com/PIVOVAR-TASCHENBERG-235370126500418</t>
  </si>
  <si>
    <t>https://goo.gl/9az8PA</t>
  </si>
  <si>
    <t>Günter Kensy</t>
  </si>
  <si>
    <t>N 50°9.38382'. E 14°11.38920'</t>
  </si>
  <si>
    <t>Vilém</t>
  </si>
  <si>
    <t>Rodinný pivovar Vilém</t>
  </si>
  <si>
    <t>Jince</t>
  </si>
  <si>
    <t>Eškova 33, Jince</t>
  </si>
  <si>
    <t>https://goo.gl/SLDJbS</t>
  </si>
  <si>
    <t>ZYTHUM, SE</t>
  </si>
  <si>
    <t>Plešivecký čert, Šemík, Valdecká Černá paní, Vilém, Vilém z Jinců</t>
  </si>
  <si>
    <t>U malýho velkýho píva</t>
  </si>
  <si>
    <t>N 49°47.46697'. E 13°58.66218'</t>
  </si>
  <si>
    <t>Ohrada</t>
  </si>
  <si>
    <t>Vesnický pivovar Ohrada</t>
  </si>
  <si>
    <t>Vísky u Letovic</t>
  </si>
  <si>
    <t>Vísky 100, Vísky u Letovic</t>
  </si>
  <si>
    <t>https://goo.gl/WjmGiy</t>
  </si>
  <si>
    <t>Vesnický pivovar OHRADA s.r.o.</t>
  </si>
  <si>
    <t>Bejček, Měďák, Pacholek, Prasák, Vísecká pšenka</t>
  </si>
  <si>
    <t>N 49°32.00082'. E 16°37.51602'</t>
  </si>
  <si>
    <t>Vítek z Prčice</t>
  </si>
  <si>
    <t>Pivovar Vítek z Prčice</t>
  </si>
  <si>
    <t>Sedlec-Prčice</t>
  </si>
  <si>
    <t>Komenského 21, Sedlec-Prčice</t>
  </si>
  <si>
    <t>https://goo.gl/TE8Tbj</t>
  </si>
  <si>
    <t>Vítek z Prčice, s.r.o</t>
  </si>
  <si>
    <t>N 49°34.45193'. E 14°31.71672'</t>
  </si>
  <si>
    <t>Všerad</t>
  </si>
  <si>
    <t>Zámecký pivovar Všerad</t>
  </si>
  <si>
    <t>Všeradice</t>
  </si>
  <si>
    <t>Všeradice 1, Všeradice</t>
  </si>
  <si>
    <t>https://goo.gl/kPc5z6</t>
  </si>
  <si>
    <t>SOME CZ, s.r.o.</t>
  </si>
  <si>
    <t>Hostinec U Paní Magdaleny</t>
  </si>
  <si>
    <t>https://flic.kr/s/aHsmgQNEQu</t>
  </si>
  <si>
    <t>N 49°52.39005'. E 14°6.65838'</t>
  </si>
  <si>
    <t>Xaver</t>
  </si>
  <si>
    <t>Pivovar Xaver</t>
  </si>
  <si>
    <t>Blučina</t>
  </si>
  <si>
    <t>Havlíčkova 99, Blučina</t>
  </si>
  <si>
    <t>2006 - 2008, 2014</t>
  </si>
  <si>
    <t>Kolín</t>
  </si>
  <si>
    <t>https://goo.gl/zEdXxk</t>
  </si>
  <si>
    <t>Pivoxaver s.r.o.</t>
  </si>
  <si>
    <t>František, Ludmila, Oldřich, Vladimír, Xaver</t>
  </si>
  <si>
    <t>N 49°3.37092'. E 16°39.00293'</t>
  </si>
  <si>
    <t>Bratčice</t>
  </si>
  <si>
    <t>Zámecký pivovar Bratčice</t>
  </si>
  <si>
    <t>Bratčice 106, Bratčice</t>
  </si>
  <si>
    <t>https://goo.gl/j1yFzK</t>
  </si>
  <si>
    <t>Zámecký pivovar a.s.</t>
  </si>
  <si>
    <t>Mezi lety 2004 až 2012 působil pivovar v Oslavanech</t>
  </si>
  <si>
    <t>Bratčický granát, Zámecká</t>
  </si>
  <si>
    <t>https://flic.kr/s/aHsm7dWuKs</t>
  </si>
  <si>
    <t>N 49°3.78347', E 16°30.99617'</t>
  </si>
  <si>
    <t>U Rybiček</t>
  </si>
  <si>
    <t>Rodinný pivovar U Rybiček</t>
  </si>
  <si>
    <t>Stříbro</t>
  </si>
  <si>
    <t>Plzeňská 32, Stříbro</t>
  </si>
  <si>
    <t>https://goo.gl/pPAQfe</t>
  </si>
  <si>
    <t>David Ryba</t>
  </si>
  <si>
    <t>Argent, Duchmaus, Horník, Ostrostřelec, Stříbrňák</t>
  </si>
  <si>
    <t>N 49°45.09337'. E 13°0.34308'</t>
  </si>
  <si>
    <t>Zichovec</t>
  </si>
  <si>
    <t>Rodinný pivovar Zichovec</t>
  </si>
  <si>
    <t>Zichovec 99, Zichovec</t>
  </si>
  <si>
    <t>https://goo.gl/MWuhNE</t>
  </si>
  <si>
    <t>1. Zichovecká s.r.o.</t>
  </si>
  <si>
    <t>Krahulík, Magor, Zichovec</t>
  </si>
  <si>
    <t>N 50°16.35265'. E 13°55.55000'</t>
  </si>
  <si>
    <t>Zvíkov</t>
  </si>
  <si>
    <t>Pivovarský dvůr Zvíkov</t>
  </si>
  <si>
    <t>Zvíkovské Podhradí</t>
  </si>
  <si>
    <t>Zvíkovské Podhradí 92, Zvíkovské Podhradí</t>
  </si>
  <si>
    <t>https://goo.gl/qSYjE2</t>
  </si>
  <si>
    <t>Pivovarský dvůr Zvíkov s.r.o.</t>
  </si>
  <si>
    <t>Červený Rarášek, Královská Zlatá labuť, Zlatá labuť, Zvíkovský, Zvíkovský Rarášek</t>
  </si>
  <si>
    <t>N 49°25.84830'. E 14°11.89788'</t>
  </si>
  <si>
    <t>U Dyje</t>
  </si>
  <si>
    <t>Minipivovar u Dyje</t>
  </si>
  <si>
    <t>Nový Šaldorf - Sedlešovice</t>
  </si>
  <si>
    <t>Sedlešovice 95, Nový Šaldorf-Sedlešovice - Sedlešovice</t>
  </si>
  <si>
    <t>https://goo.gl/q3VAoV</t>
  </si>
  <si>
    <t>Michal Volf</t>
  </si>
  <si>
    <t>Tmavý Josef, Zlatý Josef</t>
  </si>
  <si>
    <t>N 48°50.13323'. E 16°3.36773'</t>
  </si>
  <si>
    <t>KH - Mosau</t>
  </si>
  <si>
    <t>Pivovar KH - Mosau</t>
  </si>
  <si>
    <t>Srní</t>
  </si>
  <si>
    <t>Srní E45, Srní</t>
  </si>
  <si>
    <t>https://goo.gl/ajhkSC</t>
  </si>
  <si>
    <t>JK-Trend Stav s.r.o.</t>
  </si>
  <si>
    <t>Medový srnec, Tmavý srnec, Zlatý srnec, Zlatý srneček</t>
  </si>
  <si>
    <t>Penzion U Zlatého srnce</t>
  </si>
  <si>
    <t>N 49°5.07247'. E 13°27.87953'</t>
  </si>
  <si>
    <t>Malenovice</t>
  </si>
  <si>
    <t>Pivovar Malenovice</t>
  </si>
  <si>
    <t>Zlín - Malenovice</t>
  </si>
  <si>
    <t>Švermova 101, Zlín - Malenovice</t>
  </si>
  <si>
    <t>https://www.facebook.com/pivovarmalenovice</t>
  </si>
  <si>
    <t>https://goo.gl/ZR5U6L</t>
  </si>
  <si>
    <t>Do roku 2012 byl v Sazovicích</t>
  </si>
  <si>
    <t>Zlínský Švec</t>
  </si>
  <si>
    <t>https://flic.kr/s/aHsmdfsyaF</t>
  </si>
  <si>
    <t>N 49°12.33653'. E 17°35.82870'</t>
  </si>
  <si>
    <t>Nový Jičín</t>
  </si>
  <si>
    <t>Kopřivnice</t>
  </si>
  <si>
    <t>Zobak</t>
  </si>
  <si>
    <t>Pivovar Zobak</t>
  </si>
  <si>
    <t>Bílovec</t>
  </si>
  <si>
    <t xml:space="preserve">Ostravská 314/3, Bílovec </t>
  </si>
  <si>
    <t>https://goo.gl/rULDSq</t>
  </si>
  <si>
    <t>Petr Holub</t>
  </si>
  <si>
    <t>U Holubů</t>
  </si>
  <si>
    <t>https://flic.kr/s/aHsmd56pPK</t>
  </si>
  <si>
    <t>N 49°45.60097'. E 18°1.19118'</t>
  </si>
  <si>
    <t>Zubr</t>
  </si>
  <si>
    <t>Pivovar Zubr</t>
  </si>
  <si>
    <t>Komenského 35, Přerov</t>
  </si>
  <si>
    <t>https://goo.gl/VmDTHk</t>
  </si>
  <si>
    <t>Pivovar Zubr a.s.</t>
  </si>
  <si>
    <t>Classic, Gold, Grand, Maxxim, Premium, Zubr</t>
  </si>
  <si>
    <t>N 49°27.01788'. E 17°26.86002'</t>
  </si>
  <si>
    <t>Žamberk</t>
  </si>
  <si>
    <t>Pivovar Žamberk</t>
  </si>
  <si>
    <t>Československé armády 1400, Žamberk</t>
  </si>
  <si>
    <t>https://goo.gl/nvoK2t</t>
  </si>
  <si>
    <t>Intero Chmelan v.o.s.</t>
  </si>
  <si>
    <t>Žamberecký Kanec</t>
  </si>
  <si>
    <t>https://flic.kr/s/aHsmfuMyUw</t>
  </si>
  <si>
    <t>N 50°5.22637'. E 16°27.64758'</t>
  </si>
  <si>
    <t>Žatecký</t>
  </si>
  <si>
    <t>Žatecký pivovar</t>
  </si>
  <si>
    <t>Žatec</t>
  </si>
  <si>
    <t>Žižkovo náměstí 81, Žatec</t>
  </si>
  <si>
    <t>https://goo.gl/av5D4z</t>
  </si>
  <si>
    <t>Carlsberg Group</t>
  </si>
  <si>
    <t>Carlsberg Group - Žatecký pivovar, spol. s r. o.</t>
  </si>
  <si>
    <t>Ava Zêr, Baronka, BIO, Celia, Cornish Steam, Export, Premium, Sedmý schod, Strong, Xantho, Žatec</t>
  </si>
  <si>
    <t>N 50°19.93433'. E 13°32.51082'</t>
  </si>
  <si>
    <t>Třinec</t>
  </si>
  <si>
    <t>U Orloje</t>
  </si>
  <si>
    <t>Pivovar U Orloje</t>
  </si>
  <si>
    <t>náměstí Prokopa Velkého 1951, Žatec</t>
  </si>
  <si>
    <t>https://goo.gl/ifn462</t>
  </si>
  <si>
    <t>Chrám Chmele a Piva v.p.s.</t>
  </si>
  <si>
    <t>Chmelový, Chrámové, Žatecký samec</t>
  </si>
  <si>
    <t>N 50°19.47662'. E 13°32.68378'</t>
  </si>
  <si>
    <t>Želivský</t>
  </si>
  <si>
    <t>Želivský klášterní pivovar</t>
  </si>
  <si>
    <t>Želiv</t>
  </si>
  <si>
    <t>Želiv 122, Želiv</t>
  </si>
  <si>
    <t>https://www.facebook.com/klasternipivovarzeliv/</t>
  </si>
  <si>
    <t>https://goo.gl/tJsXwB</t>
  </si>
  <si>
    <t>Želivský klášterní pivovar s.r.o.</t>
  </si>
  <si>
    <t>Falco, Godšalk, Haštal, Jeroným, Masopustní, Postní, Salesius, Vánoční, Velikonoční</t>
  </si>
  <si>
    <t>https://flic.kr/s/aHsmhA4YNg</t>
  </si>
  <si>
    <t>N 49°31.77727'. E 15°12.85338'</t>
  </si>
  <si>
    <t>Žumberk</t>
  </si>
  <si>
    <t>Minipivovar Žumberk</t>
  </si>
  <si>
    <t>Žumberk 15, Žár</t>
  </si>
  <si>
    <t>https://goo.gl/CBcpLS</t>
  </si>
  <si>
    <t>Daniel Malý</t>
  </si>
  <si>
    <t>N 48°47.78872'. E 14°40.90768'</t>
  </si>
  <si>
    <t>Mordýř</t>
  </si>
  <si>
    <t>Pivovar Mordýř</t>
  </si>
  <si>
    <t>Dolní Ředice</t>
  </si>
  <si>
    <t>Dašická 300, Dolní Ředice</t>
  </si>
  <si>
    <t>https://goo.gl/zrD5Vj</t>
  </si>
  <si>
    <t>Pivovar Mordýř s.r.o.</t>
  </si>
  <si>
    <t>Ejlík, Elegán, Gilotina, Granát, Heart Attack, Hoppy Alien, Kurtizána, Lazy Cat, Líný Kominík, Mordýř, Mordýřka, Red Eagle</t>
  </si>
  <si>
    <t>https://flic.kr/s/aHsmeCPhfA</t>
  </si>
  <si>
    <t>N 50°4.56442'. E 15°55.17893'</t>
  </si>
  <si>
    <t>Bobr</t>
  </si>
  <si>
    <t>Pivovar Bobr</t>
  </si>
  <si>
    <t>Zadní Třebaň</t>
  </si>
  <si>
    <t>U Mlýna 8, Zadní Třebaň</t>
  </si>
  <si>
    <t>https://goo.gl/QRqrLu</t>
  </si>
  <si>
    <t>ALKAT Brewery s.r.o.</t>
  </si>
  <si>
    <t>U Mlýna</t>
  </si>
  <si>
    <t>N 49°55.18105'. E 14°12.57630'</t>
  </si>
  <si>
    <t>Falkenštejn</t>
  </si>
  <si>
    <t>Pivovar Falkenštejn</t>
  </si>
  <si>
    <t>Krásná Lípa</t>
  </si>
  <si>
    <t>Křinické náměstí 7, Krásná Lípa</t>
  </si>
  <si>
    <t>https://goo.gl/4sYfTY</t>
  </si>
  <si>
    <t>Pivovar Falkenštejn s.r.o.</t>
  </si>
  <si>
    <t>Ale Svižnej Emil, August Frindem, Falkenštejn, Kanár Bob, Náhlá smrt, RAPL, Stodolecký lišák, Zkouřená čarodějnice</t>
  </si>
  <si>
    <t>Křinický pivovar</t>
  </si>
  <si>
    <t>N 50°54.83802'. E 14°30.45893'</t>
  </si>
  <si>
    <t>Hrádek</t>
  </si>
  <si>
    <t>Pivovar Hrádek</t>
  </si>
  <si>
    <t>Slavičín - Hrádek na Vlárské dráze</t>
  </si>
  <si>
    <t>Družstevní I 195, Slavičín - Hrádek na Vlárské dráze</t>
  </si>
  <si>
    <t>https://goo.gl/rh2rg3</t>
  </si>
  <si>
    <t>Pivovar Hrádek s.r.o.</t>
  </si>
  <si>
    <t>Nástupce pivovaru Balkán; buduje se restaurace</t>
  </si>
  <si>
    <t>Horehleď, Karpat, Lambert, Mladotic, Ocelot, Rejtín</t>
  </si>
  <si>
    <t>Posezení v pivovaru jen pro soukromé akce, U Talafy - celá pivní nabídka z pivovaru</t>
  </si>
  <si>
    <t>https://flic.kr/s/aHsmgQ2j1p</t>
  </si>
  <si>
    <t>N 49°4.44607'. E 17°53.34528'</t>
  </si>
  <si>
    <t>Jindřichohradecký orel</t>
  </si>
  <si>
    <t>Minipivovar Jindřichohradecký orel</t>
  </si>
  <si>
    <t>náměstí Míru 165, Jindřichův Hradec</t>
  </si>
  <si>
    <t>2012 / 2016</t>
  </si>
  <si>
    <t>https://goo.gl/EDBp6A</t>
  </si>
  <si>
    <t>Grand Hotel Černý orel</t>
  </si>
  <si>
    <t>Dewerth, Grand, Heniker, Salamon, Vajgar, Victorin</t>
  </si>
  <si>
    <t>Grand hotel Černý orel</t>
  </si>
  <si>
    <t>https://flic.kr/s/aHsm77bAtA</t>
  </si>
  <si>
    <t>Hustopeče</t>
  </si>
  <si>
    <t>N 49°8.60827'. E 15°0.20177'</t>
  </si>
  <si>
    <t>Fries</t>
  </si>
  <si>
    <t>Domácí minipivovar Fries</t>
  </si>
  <si>
    <t>Strážné - Friesovy boudy</t>
  </si>
  <si>
    <t>Strážné 95, Strážné</t>
  </si>
  <si>
    <t>http://penzionandula.cz/pivovar</t>
  </si>
  <si>
    <t>https://goo.gl/LHREt9</t>
  </si>
  <si>
    <t>Penzion Andula - Friesovy boudy</t>
  </si>
  <si>
    <t>Penzion Andula</t>
  </si>
  <si>
    <t>N 50°42.00498'. E 15°39.09593'</t>
  </si>
  <si>
    <t>Kokeš</t>
  </si>
  <si>
    <t>Pivovar Kokeš</t>
  </si>
  <si>
    <t>Kamenice nad Lipou</t>
  </si>
  <si>
    <t>V Oboře 236, Kamenice nad Lipou</t>
  </si>
  <si>
    <t>https://goo.gl/bcKCML</t>
  </si>
  <si>
    <t>Deska s.r.o.</t>
  </si>
  <si>
    <t>Ležící Kokeš, Rubínový Kokeš, Temný Kokeš, Zlatý Kokeš</t>
  </si>
  <si>
    <t>https://flic.kr/s/aHsmgrJtxA</t>
  </si>
  <si>
    <t>N 49°17.93730'. E 15°4.80582'</t>
  </si>
  <si>
    <t>Krásné Březno</t>
  </si>
  <si>
    <t>Pivovar Krásné Březno</t>
  </si>
  <si>
    <t>Ústí nad Labem - Krásné Březno</t>
  </si>
  <si>
    <t>Drážďanská 80/82, Ústí nad Labem-Neštěmice - Krásné Březno</t>
  </si>
  <si>
    <t>http://www.zlatopramen.cz</t>
  </si>
  <si>
    <t>https://goo.gl/UwbWhM</t>
  </si>
  <si>
    <t>Heineken ČR, a.s. - Pivovar Krásné Březno</t>
  </si>
  <si>
    <t>Značka se vaří v pivovaru Velké Březno</t>
  </si>
  <si>
    <t>Zlatopramen</t>
  </si>
  <si>
    <t>N 50°39.91830'. E 14°4.56773'</t>
  </si>
  <si>
    <t>Gajdoš</t>
  </si>
  <si>
    <t>Biskupický pivovar Gajdoš</t>
  </si>
  <si>
    <t>Biskupice</t>
  </si>
  <si>
    <t>Biskupice 2, Biskupice-Pulkov - Biskupice</t>
  </si>
  <si>
    <t>https://flic.kr/s/aHskCrkVEa</t>
  </si>
  <si>
    <t>https://goo.gl/yR8Gza</t>
  </si>
  <si>
    <t>Gajdoš s.r.o.</t>
  </si>
  <si>
    <t>N 49°2.35417'. E 16°0.48168'</t>
  </si>
  <si>
    <t>Zlatovar</t>
  </si>
  <si>
    <t>Pivovar Zlatovar</t>
  </si>
  <si>
    <t>U Cukrovaru 1454/13, Opava - Kateřinky</t>
  </si>
  <si>
    <t>http://www.zlatovar.cz</t>
  </si>
  <si>
    <t>https://goo.gl/oPdGcF</t>
  </si>
  <si>
    <t>Značka se vaří v pivovaru Uherský Brod</t>
  </si>
  <si>
    <t>N 49°56.45167'. E 17°53.95518'</t>
  </si>
  <si>
    <t>Radas</t>
  </si>
  <si>
    <t>Pivovar Radas</t>
  </si>
  <si>
    <t>Střítež</t>
  </si>
  <si>
    <t>Střítež 98, Střítež</t>
  </si>
  <si>
    <t>https://goo.gl/vVezyi</t>
  </si>
  <si>
    <t>Radas Collection Stil s.r.o.</t>
  </si>
  <si>
    <t>Lysá hora, Radas</t>
  </si>
  <si>
    <t>https://flic.kr/s/aHsmfxodQP</t>
  </si>
  <si>
    <t>N 49°40.76040'. E 18°34.14067'</t>
  </si>
  <si>
    <t>Karvinský</t>
  </si>
  <si>
    <t>Karvinský pivovar</t>
  </si>
  <si>
    <t>Karviná - Ráj</t>
  </si>
  <si>
    <t>Polská 117/8, Karviná - Ráj</t>
  </si>
  <si>
    <t>https://goo.gl/jzNCcK</t>
  </si>
  <si>
    <t>Karvinský pivovar, s.r.o.</t>
  </si>
  <si>
    <t>Larische</t>
  </si>
  <si>
    <t>Ovečka</t>
  </si>
  <si>
    <t>https://flic.kr/s/aHsm77caVW</t>
  </si>
  <si>
    <t>N 49°50.60772'. E 18°33.74838'</t>
  </si>
  <si>
    <t>2011 / 2012</t>
  </si>
  <si>
    <t>Gabretus</t>
  </si>
  <si>
    <t>Městský pivovar Gabretus</t>
  </si>
  <si>
    <t>Volary</t>
  </si>
  <si>
    <t>Náměstí 325, Volary</t>
  </si>
  <si>
    <t>https://goo.gl/RWPSoc</t>
  </si>
  <si>
    <t>Městský hotel Bobík s.r.o.</t>
  </si>
  <si>
    <t>N 48°54.68040'. E 13°53.51208'</t>
  </si>
  <si>
    <t>ZLoun</t>
  </si>
  <si>
    <t>Pivovar ZLoun</t>
  </si>
  <si>
    <t>Rybalkova 1267, Louny</t>
  </si>
  <si>
    <t>https://goo.gl/meE98c</t>
  </si>
  <si>
    <t>Pivo ZLoun s.r.o.</t>
  </si>
  <si>
    <t>ALEnt, Desítka, Jantar, Lyon, PAMIHOD, Tvrďák</t>
  </si>
  <si>
    <t>N 50°21.17010'. E 13°48.41028'</t>
  </si>
  <si>
    <t>Pod Lípou</t>
  </si>
  <si>
    <t>Pivovar Pod Lípou</t>
  </si>
  <si>
    <t>Kyšice</t>
  </si>
  <si>
    <t>Náves 20, Kyšice</t>
  </si>
  <si>
    <t>https://goo.gl/6g1ivN</t>
  </si>
  <si>
    <t>Boskovice</t>
  </si>
  <si>
    <t>Pivovar Pod Lípou s.r.o.</t>
  </si>
  <si>
    <t>Vísky</t>
  </si>
  <si>
    <t>Čeledín, Lanbert, Mouřenín, Pocestný, Sedlák</t>
  </si>
  <si>
    <t>Pension Pod Lípou</t>
  </si>
  <si>
    <t>N 49°45.22350'. E 13°29.07432'</t>
  </si>
  <si>
    <t>1. Selský</t>
  </si>
  <si>
    <t>1. Selský pivovárek</t>
  </si>
  <si>
    <t>Havlíčkova 4252/160, Kroměříž</t>
  </si>
  <si>
    <t>https://goo.gl/8nHY7N</t>
  </si>
  <si>
    <t xml:space="preserve">1. Selský pivovárek, s.r.o. </t>
  </si>
  <si>
    <t>V létě v provozu letní terasa s výčepem</t>
  </si>
  <si>
    <t>Adam, Alleš Gute!, Bockovka, C.&amp; K., Eva, Florián, Imperátor, Jarní doušek, Jesus Christ Suprstár, Kill Bill, Krok do tmy, Maryška, McHugo, Sedláček, Sedlák, Špalda, Terča, Vaněk Ferdinand, Velký Mogul</t>
  </si>
  <si>
    <t>N 49°16.96725'. E 17°21.81358'</t>
  </si>
  <si>
    <t>https://www.facebook.com/DvurVserad</t>
  </si>
  <si>
    <t>Domov</t>
  </si>
  <si>
    <t>Rodinný minipivovar Domov</t>
  </si>
  <si>
    <t>Rybalkova 1323, Louny</t>
  </si>
  <si>
    <t>https://goo.gl/84vWbm</t>
  </si>
  <si>
    <t>Lounský žejdlík s.r.o.</t>
  </si>
  <si>
    <t>Lounský žejdlík</t>
  </si>
  <si>
    <t>Penzion Domov</t>
  </si>
  <si>
    <t>N 50°21.08617'. E 13°48.60667'</t>
  </si>
  <si>
    <t>Židlochovice</t>
  </si>
  <si>
    <t>Lišák</t>
  </si>
  <si>
    <t>Minipivovar Lišák Topolany</t>
  </si>
  <si>
    <t>Topolany</t>
  </si>
  <si>
    <t>Topolany 19, Topolany</t>
  </si>
  <si>
    <t>https://goo.gl/V6shGq</t>
  </si>
  <si>
    <t>Jan Michalík</t>
  </si>
  <si>
    <t>https://flic.kr/s/aHsmc27Aes</t>
  </si>
  <si>
    <t>N 49°16.71802'. E 17°2.44458'</t>
  </si>
  <si>
    <t>Veselka</t>
  </si>
  <si>
    <t>Minipivovar Veselka</t>
  </si>
  <si>
    <t>Litomyšl</t>
  </si>
  <si>
    <t>T. Novákové 64, Litomyšl - Záhradí</t>
  </si>
  <si>
    <t>2007 / 2012</t>
  </si>
  <si>
    <t>https://goo.gl/8sZEc2</t>
  </si>
  <si>
    <t>Jiří Kohák</t>
  </si>
  <si>
    <t>Bedřichova, Bedřichův</t>
  </si>
  <si>
    <t>Restaurace Veselka</t>
  </si>
  <si>
    <t>https://flic.kr/s/aHsmgDrcCn</t>
  </si>
  <si>
    <t>N 49°52.25557'. E 16°19.00290'</t>
  </si>
  <si>
    <t>Lucky Bastard</t>
  </si>
  <si>
    <t>Pivovar Lucky Bastard</t>
  </si>
  <si>
    <t>Kotlářská 989/51a, Brno-střed - Veveří</t>
  </si>
  <si>
    <t>https://goo.gl/uvY63i</t>
  </si>
  <si>
    <t>Czech Craft Beers, a.s.</t>
  </si>
  <si>
    <t>Lucky Bastard, s.r.o.</t>
  </si>
  <si>
    <t>Do roku 2017 sídlil zde: N 49°12.71218', E 16°36.02002'</t>
  </si>
  <si>
    <t>Lucky Bastard Beerhouse</t>
  </si>
  <si>
    <t>N 49°12.49480'. E 16°36.16550'</t>
  </si>
  <si>
    <t>Nový Šaldorf-Sedlešovice</t>
  </si>
  <si>
    <t>Zhůřák</t>
  </si>
  <si>
    <t>Pivovar Zhůřák</t>
  </si>
  <si>
    <t>Zhůř</t>
  </si>
  <si>
    <t>Zhůř 138, Chocenice - Zhůř</t>
  </si>
  <si>
    <t>Sušice</t>
  </si>
  <si>
    <t>https://goo.gl/rk6JKM</t>
  </si>
  <si>
    <t>Chris Baerwaldt</t>
  </si>
  <si>
    <t>Asfalt, Bad Flash, Černá Vdova, Fifty-Fifty, Hoppy Face, Hop Swill, Kazbekian, Světluška, Total Eclipse, Zhůřák</t>
  </si>
  <si>
    <t>N 49°32.25827'. E 13°30.94100'</t>
  </si>
  <si>
    <t>Morava</t>
  </si>
  <si>
    <t>Řemeslný pivovar Morava</t>
  </si>
  <si>
    <t>Jiřího Trnky 82, Frýdek-Místek - Místek</t>
  </si>
  <si>
    <t>Zlín</t>
  </si>
  <si>
    <t>https://goo.gl/bP3pjD</t>
  </si>
  <si>
    <t>Pivovárek Morava s.r.o.</t>
  </si>
  <si>
    <t>Distribuováno v rámci sítě restaurací Šatlava</t>
  </si>
  <si>
    <t>Šatlava</t>
  </si>
  <si>
    <t>https://www.facebook.com/media/set/?set=a.373681202768927.1073741858.282498931887155&amp;type=1&amp;l=82906e8493</t>
  </si>
  <si>
    <t>N 49°40.60758'. E 18°19.98162'</t>
  </si>
  <si>
    <t>Libocký</t>
  </si>
  <si>
    <t>Libocký pivovar</t>
  </si>
  <si>
    <t>Praha - Liboc</t>
  </si>
  <si>
    <t>Evropská 134/209, Praha 6 - Liboc</t>
  </si>
  <si>
    <t>https://goo.gl/UXMNZ5</t>
  </si>
  <si>
    <t>David Pátek</t>
  </si>
  <si>
    <t>Ctirad, Černý Pátek, Fabián, Hvězda, Chrudoš, Kašpar, Šárecký Divoch, Šárka, Šebestián</t>
  </si>
  <si>
    <t>Nad Šárkou</t>
  </si>
  <si>
    <t>N 50°5.54633'. E 14°19.43742'</t>
  </si>
  <si>
    <t>Karásek a Stülpner</t>
  </si>
  <si>
    <t>První občanský pivovar v Chomutově Karásek a Stülpner</t>
  </si>
  <si>
    <t>28. října 1081/19, Chomutov</t>
  </si>
  <si>
    <t>https://goo.gl/t2dzHV</t>
  </si>
  <si>
    <t>První občanský pivovar v Chomutově, a.s.</t>
  </si>
  <si>
    <t>Černá višňová, Jarní, Karáskova, Kvidona s Felsů, Monarchova, Murinova, Novosvětská, Pašerova půlnoční, Podloudnická, Protinožcova, Rebelova, Stülpnerova</t>
  </si>
  <si>
    <t>Restaurant &amp; Cafe Republika</t>
  </si>
  <si>
    <t>N 50°27.57187'. E 13°24.75683'</t>
  </si>
  <si>
    <t>Podlesí</t>
  </si>
  <si>
    <t>Pivovar Podlesí</t>
  </si>
  <si>
    <t>Podlesí 139, Podlesí</t>
  </si>
  <si>
    <t>https://goo.gl/ruPcKp</t>
  </si>
  <si>
    <t>Pivovar ČZ, s.r.o.</t>
  </si>
  <si>
    <t>APAč, Brdonoš, Galileo, Hulvát, Mikeš, Podleský</t>
  </si>
  <si>
    <t>N 49°41.39448'. E 13°58.92187'</t>
  </si>
  <si>
    <t>Nová Sladovna</t>
  </si>
  <si>
    <t>Minipivovar Nová Sladovna</t>
  </si>
  <si>
    <t>U Fortny 49/10, Opava - Město</t>
  </si>
  <si>
    <t>https://goo.gl/j4KFJD</t>
  </si>
  <si>
    <t>Gastronomie Opava s.r.o.</t>
  </si>
  <si>
    <t>Apache, Black Cat, Black Hawk, Bulldog, Columbus, Černý korzár, El Dorado, Francin, Galaxy Enterprise, Geronimo, Grand Canyon, Greenhorn, Cheyenne, Mohawk, Mohican, One Bull, Opavské, Opavský čert, Opavský korbel, Opavský škopek, Opavský zlaťák, Seattle, Sladovna, Tecumseh, Wiener riesenrad</t>
  </si>
  <si>
    <t>N 49°56.45273'. E 17°54.04200'</t>
  </si>
  <si>
    <t>Oslavany</t>
  </si>
  <si>
    <t>Městský zámecký pivovar Oslavany</t>
  </si>
  <si>
    <t>Zámecká 1/16, Oslavany</t>
  </si>
  <si>
    <t>https://goo.gl/cK5Ged</t>
  </si>
  <si>
    <t>Městský zámecký pivovar Oslavany s.r.o.</t>
  </si>
  <si>
    <t>Jantar, Opál, Oslavanský, Rubín</t>
  </si>
  <si>
    <t>https://flic.kr/s/aHsmda8ZZp</t>
  </si>
  <si>
    <t>N 49°7.61568'. E 16°20.03052'</t>
  </si>
  <si>
    <t>https://www.facebook.com/klasternipivovarzeliv</t>
  </si>
  <si>
    <t>Čechmánek</t>
  </si>
  <si>
    <t>Pivovar Čechmánek</t>
  </si>
  <si>
    <t>2. května 2728, Zlín</t>
  </si>
  <si>
    <t>https://www.facebook.com/pivovarcechmanek</t>
  </si>
  <si>
    <t>https://goo.gl/gCpT4T</t>
  </si>
  <si>
    <t>Pivovar Čechmánek s.r.o.</t>
  </si>
  <si>
    <t>Lev, Lvice</t>
  </si>
  <si>
    <t>https://flic.kr/s/aHskwFuTQW</t>
  </si>
  <si>
    <t>N 49°13.88172'. E 17°40.99530'</t>
  </si>
  <si>
    <t>Lyer</t>
  </si>
  <si>
    <t>Pivovar Lyer</t>
  </si>
  <si>
    <t>Modrava</t>
  </si>
  <si>
    <t>Modrava 10, Modrava</t>
  </si>
  <si>
    <t>Trhové Sviny</t>
  </si>
  <si>
    <t>Žár</t>
  </si>
  <si>
    <t>https://goo.gl/fBnVHG</t>
  </si>
  <si>
    <t>Pivovar LYER </t>
  </si>
  <si>
    <t>N 49°1.41353'. E 13°29.56853'</t>
  </si>
  <si>
    <t>Beeranek</t>
  </si>
  <si>
    <t>Minipivovar Beeranek</t>
  </si>
  <si>
    <t>Česká 7/55, České Budějovice - České Budějovice 1</t>
  </si>
  <si>
    <t>https://goo.gl/keZ2D7</t>
  </si>
  <si>
    <t>Beeranek - Singer pub</t>
  </si>
  <si>
    <t>Beeranek, BeerPatrick, Diablo Negro</t>
  </si>
  <si>
    <t>Singer pub</t>
  </si>
  <si>
    <t>N 48°58.48560'. E 14°28.35277'</t>
  </si>
  <si>
    <t>Holice</t>
  </si>
  <si>
    <t>Šnajdr</t>
  </si>
  <si>
    <t>Minipivovar Šnajdr</t>
  </si>
  <si>
    <t>Kostelec nad Černými Lesy</t>
  </si>
  <si>
    <t>Českobrodská 17, Kostelec nad Černými lesy</t>
  </si>
  <si>
    <t>https://goo.gl/kg3rRj</t>
  </si>
  <si>
    <t>Dej bůh štěstí s.r.o.</t>
  </si>
  <si>
    <t>Černá svině, Eliáš, Smolinec, Šnajdr, ŠPA, Vysmolenec, Žitovec</t>
  </si>
  <si>
    <t>N 49°59.87952'. E 14°51.89610'</t>
  </si>
  <si>
    <t>Popelín</t>
  </si>
  <si>
    <t>Pivovar Popelín</t>
  </si>
  <si>
    <t>Popelín 43, Popelín</t>
  </si>
  <si>
    <t>https://goo.gl/GXvvVj</t>
  </si>
  <si>
    <t>Pivovar Popelín s.r.o.</t>
  </si>
  <si>
    <t>Popelínské, Popelínský, Silák, Tumaperk</t>
  </si>
  <si>
    <t>U Zemanů</t>
  </si>
  <si>
    <t>https://flic.kr/s/aHsmhAcfSg</t>
  </si>
  <si>
    <t>N 49°12.81348'. E 15°11.19230'</t>
  </si>
  <si>
    <t>Venuše</t>
  </si>
  <si>
    <t>Pivovar Královského řádu Moravských rytířů Venuše</t>
  </si>
  <si>
    <t>Havířov - Podlesí</t>
  </si>
  <si>
    <t>Jílová 1580/2, Havířov - Podlesí</t>
  </si>
  <si>
    <t>http://www.pivovarvenuse.cz</t>
  </si>
  <si>
    <t>https://www.facebook.com/www.fcbpivovarvenuse.cz</t>
  </si>
  <si>
    <t>https://goo.gl/Hz3Vn4</t>
  </si>
  <si>
    <t>PM Pivovar s.r.o.</t>
  </si>
  <si>
    <t>Milver</t>
  </si>
  <si>
    <t>Pivovar Venuše</t>
  </si>
  <si>
    <t>https://flic.kr/s/aHsmh7QJMY</t>
  </si>
  <si>
    <t>N 49°46.80972'. E 18°27.37890'</t>
  </si>
  <si>
    <t>Groll</t>
  </si>
  <si>
    <t>Minipivovar Groll</t>
  </si>
  <si>
    <t>Truhlářská 2397/10, Plzeň 3 - Východní Předměstí</t>
  </si>
  <si>
    <t>Rumburk</t>
  </si>
  <si>
    <t>https://www.facebook.com/Grollpivovar</t>
  </si>
  <si>
    <t>https://goo.gl/NqhKWp</t>
  </si>
  <si>
    <t>Groll s.r.o.</t>
  </si>
  <si>
    <t>Groll, Kapr, Lotr</t>
  </si>
  <si>
    <t>N 49°45.02238'. E 13°22.85635'</t>
  </si>
  <si>
    <t>Letohradský Jelen</t>
  </si>
  <si>
    <t>Pivovar Letohradský Jelen</t>
  </si>
  <si>
    <t>Draha 444, Žamberk</t>
  </si>
  <si>
    <t>Luhačovice</t>
  </si>
  <si>
    <t>Slavičín</t>
  </si>
  <si>
    <t>https://goo.gl/a9e8ue</t>
  </si>
  <si>
    <t>JZD Letohrad a.s.</t>
  </si>
  <si>
    <t>Jelen, Kastelánův, Královská</t>
  </si>
  <si>
    <t>https://flic.kr/s/aHsmgDq9g4</t>
  </si>
  <si>
    <t>N 50°5.52673'. E 16°28.93897'</t>
  </si>
  <si>
    <t>2014 / 2018</t>
  </si>
  <si>
    <t>Mačák</t>
  </si>
  <si>
    <t>Pivovar Mačák</t>
  </si>
  <si>
    <t>Olomouc - Hodolany</t>
  </si>
  <si>
    <t>Elišky Krásnohorské 24/1, Olomouc - Hodolany</t>
  </si>
  <si>
    <t>https://goo.gl/jyjQBm</t>
  </si>
  <si>
    <t>Technologie přemístěna do minipivovaru Riegrovka</t>
  </si>
  <si>
    <t>Černá ostružina, Hodolanský, Mačákova, Mačákův</t>
  </si>
  <si>
    <t>Pivovar a restaurace Mačák</t>
  </si>
  <si>
    <t>N 49°35.48850'. E 17°17.19678'</t>
  </si>
  <si>
    <t>Joe's Garage</t>
  </si>
  <si>
    <t>Joe's Garage Brewery</t>
  </si>
  <si>
    <t>Plzeň - Červený Hrádek</t>
  </si>
  <si>
    <t>K Fořtovně 212/7, Plzeň 4 - Červený Hrádek</t>
  </si>
  <si>
    <t>https://goo.gl/SpkrsY</t>
  </si>
  <si>
    <t>Joes garage brewery, s.r.o.</t>
  </si>
  <si>
    <t>Dnes funguje spíše jako pokusná varna pro pivovar Beer Factory</t>
  </si>
  <si>
    <t>N 49°45.33102'. E 13°27.21198'</t>
  </si>
  <si>
    <t>Kapitán</t>
  </si>
  <si>
    <t>Děčínský pivovar Kapitán</t>
  </si>
  <si>
    <t>Sofijská 2/3, Děčín VI - Letná</t>
  </si>
  <si>
    <t>Strážné</t>
  </si>
  <si>
    <t>https://goo.gl/j9fSUF</t>
  </si>
  <si>
    <t>Pivovarská restaurace CPD s.r.o.</t>
  </si>
  <si>
    <t>Černý korzár, Černý rytíř, Kapitán, Lodník, Válečník</t>
  </si>
  <si>
    <t>Centrum pivovar</t>
  </si>
  <si>
    <t>https://flic.kr/s/aHsmb9zn91</t>
  </si>
  <si>
    <t>N 50°46.31898'. E 14°11.59698'</t>
  </si>
  <si>
    <t>U Šneka</t>
  </si>
  <si>
    <t>Pivovar U Šneka</t>
  </si>
  <si>
    <t>Na Kolbišti 10, Znojmo</t>
  </si>
  <si>
    <t>https://goo.gl/jKT1B6</t>
  </si>
  <si>
    <t>Aliance P.I.V.</t>
  </si>
  <si>
    <t>Dříve se vařilo v pivovaru Bravůr a Maxmilian</t>
  </si>
  <si>
    <t>Snail, Šnekova</t>
  </si>
  <si>
    <t>N 48°51.04438'. E 16°3.19428'</t>
  </si>
  <si>
    <t>Slezský</t>
  </si>
  <si>
    <t>Slezský pivovar</t>
  </si>
  <si>
    <t>Havířov</t>
  </si>
  <si>
    <t>Selská 1329/43, Havířov - Město</t>
  </si>
  <si>
    <t>1867 / 2011</t>
  </si>
  <si>
    <t>https://goo.gl/wt8Hgs</t>
  </si>
  <si>
    <t>Slezský pivovar s.r.o.</t>
  </si>
  <si>
    <t>Bijok, Bulač, Cap, Cukrouš, Fachman, Fajsel, Hajcman, Hever, Hupcuk, Kafač, Majstr, Robka, Štajgr, Štola</t>
  </si>
  <si>
    <t>U Balona</t>
  </si>
  <si>
    <t>https://www.facebook.com/media/set/?set=a.517254865078226.1073741866.282498931887155&amp;type=1&amp;l=9f04ccac80</t>
  </si>
  <si>
    <t>N 49°46.29720'. E 18°26.06543'</t>
  </si>
  <si>
    <t>Hutisko-Solanec</t>
  </si>
  <si>
    <t>Pivovar Hutisko-Solanec</t>
  </si>
  <si>
    <t>Solanec pod Soláněm 609, Hutisko-Solanec - Solanec pod Soláněm</t>
  </si>
  <si>
    <t>2013 - 2016, 2016 - 2017</t>
  </si>
  <si>
    <t>https://www.facebook.com/U-Segala-381631648660486</t>
  </si>
  <si>
    <t>https://goo.gl/tJScU2</t>
  </si>
  <si>
    <t>(Balitovy valašské pivovary s.r.o.), Pivovar Hutisko-Solanec s.r.o.</t>
  </si>
  <si>
    <t>Nástupce pivovaru "Balitovy valašské pivovary"</t>
  </si>
  <si>
    <t>(Radocha), Segal</t>
  </si>
  <si>
    <t>(Kyčera), U Segala</t>
  </si>
  <si>
    <t>N 49°25.78620'. E 18°13.11978'</t>
  </si>
  <si>
    <t>Krčín</t>
  </si>
  <si>
    <t>Sedlčanský pivovar Krčín</t>
  </si>
  <si>
    <t>Na Červeném Hrádku 793, Sedlčany</t>
  </si>
  <si>
    <t>Biskupice-Pulkov</t>
  </si>
  <si>
    <t>https://goo.gl/SMAEh1</t>
  </si>
  <si>
    <t>Farma Druhaz spol. s r.o.</t>
  </si>
  <si>
    <t>Krčín, Mastník, Sedlčanský, Supovo</t>
  </si>
  <si>
    <t>N 49°39.26725'. E 14°26.86065'</t>
  </si>
  <si>
    <t>1825 / 2006</t>
  </si>
  <si>
    <t>Letiny</t>
  </si>
  <si>
    <t>Akciový pivovar Letiny</t>
  </si>
  <si>
    <t>Letiny 66, Letiny</t>
  </si>
  <si>
    <t>https://goo.gl/kj47Wp</t>
  </si>
  <si>
    <t>Akciový pivovar Letiny a.s.</t>
  </si>
  <si>
    <t>Letinská, Letinský, L.Í.P.A.</t>
  </si>
  <si>
    <t>N 49°32.39343'. E 13°27.32470'</t>
  </si>
  <si>
    <t>Trubadúr</t>
  </si>
  <si>
    <t>Domácí pivovárek Trubadúr</t>
  </si>
  <si>
    <t>Troubelice</t>
  </si>
  <si>
    <t>Troubelice 252, Troubelice</t>
  </si>
  <si>
    <t>https://goo.gl/QZSFbH</t>
  </si>
  <si>
    <t>František Hájek</t>
  </si>
  <si>
    <t>Domácí pivovar na ploše 5 m čtverečních</t>
  </si>
  <si>
    <t>N 49°49.58748'. E 17°3.93923'</t>
  </si>
  <si>
    <t>Doubravník</t>
  </si>
  <si>
    <t>Pivovar Doubravník</t>
  </si>
  <si>
    <t>Doubravník 109, Doubravník</t>
  </si>
  <si>
    <t>https://flic.kr/s/aHsmwzRxTh</t>
  </si>
  <si>
    <t>https://goo.gl/EpjUyW</t>
  </si>
  <si>
    <t>Doubravnické pivo s.r.o.</t>
  </si>
  <si>
    <t>Doubravnická, Herkules</t>
  </si>
  <si>
    <t>https://flic.kr/s/aHsmdhx74G</t>
  </si>
  <si>
    <t>N 49°25.63567'. E 16°21.46477'</t>
  </si>
  <si>
    <t>Šedivák</t>
  </si>
  <si>
    <t>Pivovar Šedivák</t>
  </si>
  <si>
    <t>Praha - Bohnice</t>
  </si>
  <si>
    <t>Katovická 410/6, Praha 8 - Bohnice</t>
  </si>
  <si>
    <t>https://goo.gl/fNceBd</t>
  </si>
  <si>
    <t>N 50°7.89420'. E 14°25.46377'</t>
  </si>
  <si>
    <t>Clock</t>
  </si>
  <si>
    <t>Řemeslný pivovar Clock</t>
  </si>
  <si>
    <t>Potštejn</t>
  </si>
  <si>
    <t>Školní 2, Potštejn</t>
  </si>
  <si>
    <t>https://goo.gl/WJyMTo</t>
  </si>
  <si>
    <t>Pivovar Clock s.r.o.</t>
  </si>
  <si>
    <t>Clock, Ellen, Exorcist, Fanouš, Goldie, Hektor, Maid, Nakuoření Huz, Nina, No Idols!, Rišaví Zmikund, Sarah, Tekutý kapřík, Twist, Zlatý prasátko</t>
  </si>
  <si>
    <t>https://flic.kr/s/aHskwAz5Vy</t>
  </si>
  <si>
    <t>N 50°4.93722'. E 16°18.45307'</t>
  </si>
  <si>
    <t>Krajinská 27</t>
  </si>
  <si>
    <t>Minipivovar Krajinská 27</t>
  </si>
  <si>
    <t>Krajinská 235/27, České Budějovice - České Budějovice 1</t>
  </si>
  <si>
    <t>https://goo.gl/MA3S1X</t>
  </si>
  <si>
    <t>Minipivovar Krajinská 27 s.r.o.</t>
  </si>
  <si>
    <t>Krajinská</t>
  </si>
  <si>
    <t>N 48°58.61280'. E 14°28.42087'</t>
  </si>
  <si>
    <t>Vraník</t>
  </si>
  <si>
    <t>Rodinný pivovar Vraník</t>
  </si>
  <si>
    <t>Trnava</t>
  </si>
  <si>
    <t>Trnava 23, Trnava</t>
  </si>
  <si>
    <t>https://www.facebook.com/podlipoukysice</t>
  </si>
  <si>
    <t>https://goo.gl/hTRxHf</t>
  </si>
  <si>
    <t>https://flic.kr/s/aHsmfU4ofX</t>
  </si>
  <si>
    <t>N 49°17.90693'. E 17°50.63088'</t>
  </si>
  <si>
    <t>Městský karvinský pivovar</t>
  </si>
  <si>
    <t>Karviná - Fryštát</t>
  </si>
  <si>
    <t>Pivovarská 17/13, Karviná - Fryštát</t>
  </si>
  <si>
    <t>https://goo.gl/bnv4aC</t>
  </si>
  <si>
    <t>Karpivovar s.r.o.</t>
  </si>
  <si>
    <t>Fryštátský</t>
  </si>
  <si>
    <t>Baron, Na Bečkách</t>
  </si>
  <si>
    <t>N 49°51.27180'. E 18°32.41807'</t>
  </si>
  <si>
    <t>Charlie's Square</t>
  </si>
  <si>
    <t>Minipivovar Charlie's Square</t>
  </si>
  <si>
    <t>Františkánská 498/7, Brno-střed - Brno-město</t>
  </si>
  <si>
    <t>https://goo.gl/HNqcvs</t>
  </si>
  <si>
    <t>Charlie's beer</t>
  </si>
  <si>
    <t>https://flic.kr/s/aHskxnFzZ3</t>
  </si>
  <si>
    <t>N 49°11.56347'. E 16°36.67723'</t>
  </si>
  <si>
    <t>Padochov</t>
  </si>
  <si>
    <t>Pivovar Padochov</t>
  </si>
  <si>
    <t>Padochov 231, Oslavany - Padochov</t>
  </si>
  <si>
    <t>https://goo.gl/hYaQu3</t>
  </si>
  <si>
    <t>Pivovar Padochov s.r.o.</t>
  </si>
  <si>
    <t>Antonín, Františka, Charlotta, Kukla, Padochovský</t>
  </si>
  <si>
    <t>https://flic.kr/s/aHsmfNt7uB</t>
  </si>
  <si>
    <t>N 49°8.27085'. E 16°20.90493'</t>
  </si>
  <si>
    <t>U Vacků</t>
  </si>
  <si>
    <t>Rodinný pivovar U Vacků</t>
  </si>
  <si>
    <t>Chlumec nad Cidlinou</t>
  </si>
  <si>
    <t>Klicperova 52, Chlumec nad Cidlinou - Chlumec nad Cidlinou I</t>
  </si>
  <si>
    <t>Blovice</t>
  </si>
  <si>
    <t>Chocenice</t>
  </si>
  <si>
    <t>https://goo.gl/tETdVa</t>
  </si>
  <si>
    <t>Sedlák</t>
  </si>
  <si>
    <t>https://www.facebook.com/media/set/?set=a.502190589917987.1073741864.282498931887155&amp;type=1&amp;l=5fc0495230</t>
  </si>
  <si>
    <t>N 50°9.28085'. E 15°27.55432'</t>
  </si>
  <si>
    <t>Lužiny</t>
  </si>
  <si>
    <t>Pivovar Lužiny</t>
  </si>
  <si>
    <t>Praha - Stodůlky</t>
  </si>
  <si>
    <t>Archeologická 2256/1, Praha 13 - Stodůlky</t>
  </si>
  <si>
    <t>https://goo.gl/cmKCZy</t>
  </si>
  <si>
    <t>Pivovar Lužiny, s.r.o.</t>
  </si>
  <si>
    <t>Adelle, Doga Beerstriker, JaroVít, Lužinský, Oliver, Šmidra, Živa</t>
  </si>
  <si>
    <t>https://flic.kr/s/aHsmh94Bgy</t>
  </si>
  <si>
    <t>N 50°2.64360'. E 14°19.89313'</t>
  </si>
  <si>
    <t>Hostomice</t>
  </si>
  <si>
    <t>Pivovar Hostomice pod Brdy</t>
  </si>
  <si>
    <t>Hostomice pod Brdy</t>
  </si>
  <si>
    <t>Pivovarská 214, Hostomice</t>
  </si>
  <si>
    <t>https://goo.gl/tnUL34</t>
  </si>
  <si>
    <t>Pivovarnictví Štěpán Kříž s.r.o.</t>
  </si>
  <si>
    <t>Fabián</t>
  </si>
  <si>
    <t>https://flic.kr/s/aHsmhZenkz</t>
  </si>
  <si>
    <t>N 49°49.40588'. E 14°2.64858'</t>
  </si>
  <si>
    <t>Podřipský</t>
  </si>
  <si>
    <t>Podřipský rodinný pivovar</t>
  </si>
  <si>
    <t>Ctiněves</t>
  </si>
  <si>
    <t>Ctiněves 1, Ctiněves</t>
  </si>
  <si>
    <t>https://flic.kr/s/aHsmnftNS6</t>
  </si>
  <si>
    <t>https://goo.gl/nrqRWt</t>
  </si>
  <si>
    <t>Podřipské, Podřipský</t>
  </si>
  <si>
    <t>N 50°22.38138'. E 14°18.41977'</t>
  </si>
  <si>
    <t>Hodonínský vojáček</t>
  </si>
  <si>
    <t>Rodinný pivovar Hodonínský vojáček</t>
  </si>
  <si>
    <t>Bratislavská 1/6, Hodonín</t>
  </si>
  <si>
    <t>http://www.hodoninskyvojacek.cz</t>
  </si>
  <si>
    <t>https://www.facebook.com/minipivovarhodoninskyvojacek</t>
  </si>
  <si>
    <t>https://goo.gl/RRWdhy</t>
  </si>
  <si>
    <t>ESTREMIA a.s.</t>
  </si>
  <si>
    <t>Desátník, Kapitán, Kaprál, Major, Oficír, Seržant</t>
  </si>
  <si>
    <t>N 48°50.59638'. E 17°7.50802'</t>
  </si>
  <si>
    <t>Chotěšov</t>
  </si>
  <si>
    <t>Pivovar Chotěšov</t>
  </si>
  <si>
    <t>Libochovická 2, Chotěšov</t>
  </si>
  <si>
    <t>https://goo.gl/r5hGha</t>
  </si>
  <si>
    <t>Josef Gulík</t>
  </si>
  <si>
    <t>Děvče</t>
  </si>
  <si>
    <t>Příležitostná hospoda U Svobodů na adrese pivovaru</t>
  </si>
  <si>
    <t>https://www.facebook.com/restauracenovasladovna</t>
  </si>
  <si>
    <t>N 50°26.37828'. E 14°5.09437'</t>
  </si>
  <si>
    <t>Bezděkovský</t>
  </si>
  <si>
    <t>Bezděkovský pivovar</t>
  </si>
  <si>
    <t>Bezděkov</t>
  </si>
  <si>
    <t>Bezděkov 79, Bezděkov</t>
  </si>
  <si>
    <t>Ivančice</t>
  </si>
  <si>
    <t>https://goo.gl/3aprtR</t>
  </si>
  <si>
    <t>Bezděkovský pivovar s.r.o.</t>
  </si>
  <si>
    <t>Grizzlice, Grizzly, Medvěd</t>
  </si>
  <si>
    <t>N 49°22.92842', E 13°13.48843'</t>
  </si>
  <si>
    <t>2013 / 2014</t>
  </si>
  <si>
    <t>Kyjovský</t>
  </si>
  <si>
    <t>Kyjovský pivovar</t>
  </si>
  <si>
    <t>Komenského 596/64, Kyjov</t>
  </si>
  <si>
    <t>https://goo.gl/n9AY6K</t>
  </si>
  <si>
    <t>Gladiátor, Kyjovská, Kyjovský, Proskowetz, Vilík</t>
  </si>
  <si>
    <t>Hotel Club</t>
  </si>
  <si>
    <t>https://flic.kr/s/aHskug71UF</t>
  </si>
  <si>
    <t>N 49°0.93137'. E 17°7.52727'</t>
  </si>
  <si>
    <t>Lisý dědek</t>
  </si>
  <si>
    <t>Rodinný minipivovar Lisý dědek</t>
  </si>
  <si>
    <t>Kounice 70, Kounice</t>
  </si>
  <si>
    <t>https://goo.gl/Pv9QVR</t>
  </si>
  <si>
    <t>Jan Lisý</t>
  </si>
  <si>
    <t>https://flic.kr/s/aHsmfwws2w</t>
  </si>
  <si>
    <t>N 50°6.43587'. E 14°51.33753'</t>
  </si>
  <si>
    <t>Klenot</t>
  </si>
  <si>
    <t>Minipivovar Klenot</t>
  </si>
  <si>
    <t>Puchmajerova 639, Radnice</t>
  </si>
  <si>
    <t>https://goo.gl/eCg58E</t>
  </si>
  <si>
    <t>Josef Melich</t>
  </si>
  <si>
    <t>https://flic.kr/s/aHsmc3TaWd</t>
  </si>
  <si>
    <t>N 49°51.41570'. E 13°36.75918'</t>
  </si>
  <si>
    <t>U Pujiče</t>
  </si>
  <si>
    <t>Pidipivovárek Lazny u Pujiče</t>
  </si>
  <si>
    <t>Lazny</t>
  </si>
  <si>
    <t>Lazny 136, Strašín</t>
  </si>
  <si>
    <t>https://goo.gl/LNQ3pJ</t>
  </si>
  <si>
    <t>Pavel Kašák</t>
  </si>
  <si>
    <t>Buklinský Malvaz, Černá duše, Černá mamba, Generál, Hasičák, Javorníček, Kobří touha, Lazenská kopřivka, Olíí, Pidi, Strašínský kovář, Světlá duše, Šumavous, Švihák lázeňský, Tester, Vánočka</t>
  </si>
  <si>
    <t>N 49°10.37448'. E 13°38.24728'</t>
  </si>
  <si>
    <t>Pod Pralesem</t>
  </si>
  <si>
    <t>Karlovský minipivovar Pod Pralesem</t>
  </si>
  <si>
    <t>Velké Karlovice</t>
  </si>
  <si>
    <t>Velké Karlovice 545, Velké Karlovice</t>
  </si>
  <si>
    <t>https://goo.gl/3ToSMP</t>
  </si>
  <si>
    <t>Vršák s.r.o</t>
  </si>
  <si>
    <t>Diblík, Drdlík, Mazel, Šibal, Skřítek, Tátoš</t>
  </si>
  <si>
    <t>https://flic.kr/s/aHsmdf9voL</t>
  </si>
  <si>
    <t>N 49°22.21370'. E 18°21.43670'</t>
  </si>
  <si>
    <t>Kolčavka</t>
  </si>
  <si>
    <t>Pivovar Kolčavka</t>
  </si>
  <si>
    <t>Praha - Libeň</t>
  </si>
  <si>
    <t>Nad Kolčavkou 907/8, Praha 9 - Libeň</t>
  </si>
  <si>
    <t>2014 / 2017</t>
  </si>
  <si>
    <t>https://goo.gl/yQHWL3</t>
  </si>
  <si>
    <t>Pivovar Nad Kolčavkou a.s.</t>
  </si>
  <si>
    <t>Kolčavka, Libeňský, Mrtvý kostelník</t>
  </si>
  <si>
    <t>N 50°6.49688'. E 14°28.94712'</t>
  </si>
  <si>
    <t>Lindr</t>
  </si>
  <si>
    <t>Pivovar Lindr</t>
  </si>
  <si>
    <t>Mžany</t>
  </si>
  <si>
    <t>Mžany 21, Mžany</t>
  </si>
  <si>
    <t>https://goo.gl/T9EGZr</t>
  </si>
  <si>
    <t>LINDR.CZ s. r. o.</t>
  </si>
  <si>
    <t>Dubák, Lhoťák, Mžaňák, Šípek</t>
  </si>
  <si>
    <t>https://flic.kr/s/aHskxpxfGQ</t>
  </si>
  <si>
    <t>N 50°17.76160'. E 15°40.56457'</t>
  </si>
  <si>
    <t>Hauskrecht</t>
  </si>
  <si>
    <t>Petr Hauskrecht - Parní pivovar</t>
  </si>
  <si>
    <t>Porážka 208/3, Brno-jih - Trnitá</t>
  </si>
  <si>
    <t>https://goo.gl/89rMw8</t>
  </si>
  <si>
    <t>Brněnská pivovarnická společnost s.r.o.</t>
  </si>
  <si>
    <t>Black Flek, Brněnská, Carni Vale, Magic, Moravian, Petr Bock, Red Apač, Špilberk</t>
  </si>
  <si>
    <t>N 49°11.25460'. E 16°37.69677'</t>
  </si>
  <si>
    <t>http://pivoprotebe.cz</t>
  </si>
  <si>
    <t>Pivovar Cvikov</t>
  </si>
  <si>
    <t>Hvozd, Klíč, Luž, Sklář</t>
  </si>
  <si>
    <t>https://flic.kr/s/aHsmfNwMBP</t>
  </si>
  <si>
    <t>N 50°46.62332', E 14°38.56233'</t>
  </si>
  <si>
    <t>2013 / 2016</t>
  </si>
  <si>
    <t>Chebský</t>
  </si>
  <si>
    <t>Chebský pivovar</t>
  </si>
  <si>
    <t>Cheb</t>
  </si>
  <si>
    <t>Boční 1756/3, Cheb</t>
  </si>
  <si>
    <t>https://www.facebook.com/Chebsky-pivovar-702598899823908</t>
  </si>
  <si>
    <t>https://goo.gl/qVYM5v</t>
  </si>
  <si>
    <t>THOMACONTY Cheb s.r.o.</t>
  </si>
  <si>
    <t>Chebbeer</t>
  </si>
  <si>
    <t>N 50°4.91707'. E 12°22.49188'</t>
  </si>
  <si>
    <t>Kosíř</t>
  </si>
  <si>
    <t>Minipivovar Kosíř</t>
  </si>
  <si>
    <t>Lhota pod Kosířem</t>
  </si>
  <si>
    <t>Lhota pod Kosířem 10, Drahanovice - Lhota pod Kosířem</t>
  </si>
  <si>
    <t>https://goo.gl/8ibp2U</t>
  </si>
  <si>
    <t>Minipivovar Kosíř s.r.o.</t>
  </si>
  <si>
    <t>Černý Kosák, Haltýř, Gabriell</t>
  </si>
  <si>
    <t>N 49°33.91090'. E 17°2.92143'</t>
  </si>
  <si>
    <t>U Švelchů</t>
  </si>
  <si>
    <t>Pivovar U Švelchů</t>
  </si>
  <si>
    <t>Nuželická 25, Sušice - Sušice III</t>
  </si>
  <si>
    <t>https://goo.gl/Dfrqt8</t>
  </si>
  <si>
    <t>Nuželický, Sušičák, Tmavá Emilka</t>
  </si>
  <si>
    <t>N 49°13.74613'. E 13°31.45452'</t>
  </si>
  <si>
    <t>Albrechtický pivovar</t>
  </si>
  <si>
    <t>Osvobození 43, Albrechtice</t>
  </si>
  <si>
    <t>MECON SERVICE s.r.o.</t>
  </si>
  <si>
    <t>Původně sídlil v Karviné (N 49°51.14147', E 18°31.56887')</t>
  </si>
  <si>
    <t>Pacan, Pierun, Piko, Pszenka</t>
  </si>
  <si>
    <t>N 49°47.31225'. E 18°32.29627'</t>
  </si>
  <si>
    <t>Frankies</t>
  </si>
  <si>
    <t>Pivovar Frankies</t>
  </si>
  <si>
    <t>J. Palacha 121/8, Břeclav</t>
  </si>
  <si>
    <t>https://goo.gl/MwwsgW</t>
  </si>
  <si>
    <t>Frank, Frankies, Frankiestein</t>
  </si>
  <si>
    <t>N 48°45.43177'. E 16°53.18755'</t>
  </si>
  <si>
    <t>Starobělský</t>
  </si>
  <si>
    <t>Starobělský pivovar</t>
  </si>
  <si>
    <t>Ostrava - Stará Bělá</t>
  </si>
  <si>
    <t>Proskovická 1169/215, Ostrava - Stará Bělá</t>
  </si>
  <si>
    <t>https://goo.gl/45qeVq</t>
  </si>
  <si>
    <t>Starobělský pivovar, a.s.</t>
  </si>
  <si>
    <t>Katolický lidový dům</t>
  </si>
  <si>
    <t>https://flic.kr/s/aHsm82PDcE</t>
  </si>
  <si>
    <t>N 49°45.72965'. E 18°12.30488'</t>
  </si>
  <si>
    <t>Vinohradský</t>
  </si>
  <si>
    <t>Vinohradský pivovar</t>
  </si>
  <si>
    <t>Praha - Vinohrady</t>
  </si>
  <si>
    <t>Korunní 2506/106, Praha 10 - Vinohrady</t>
  </si>
  <si>
    <t>https://goo.gl/mw6eGC</t>
  </si>
  <si>
    <t>Vinohradský pivovar, s.r.o.</t>
  </si>
  <si>
    <t>Vinohradská, Vinohradský</t>
  </si>
  <si>
    <t>https://flic.kr/s/aHsmfxHJmp</t>
  </si>
  <si>
    <t>N 50°4.51788'. E 14°27.45645'</t>
  </si>
  <si>
    <t>Heřman</t>
  </si>
  <si>
    <t>Pivovar Heřman</t>
  </si>
  <si>
    <t>Vladislav</t>
  </si>
  <si>
    <t>Vladislav 130, Vladislav</t>
  </si>
  <si>
    <t>https://goo.gl/BucSy3</t>
  </si>
  <si>
    <t>Pivovar Heřman, spol. s r.o.</t>
  </si>
  <si>
    <t>N 49°12.59793'. E 15°59.36960'</t>
  </si>
  <si>
    <t>Chomout</t>
  </si>
  <si>
    <t>Pivovar Chomout</t>
  </si>
  <si>
    <t>Chomoutov</t>
  </si>
  <si>
    <t>Dalimilova 18/92, Olomouc - Chomoutov</t>
  </si>
  <si>
    <t>https://goo.gl/JeqNLh</t>
  </si>
  <si>
    <t>CHOMOUT s.r.o.</t>
  </si>
  <si>
    <t>Chomout, Jaryn, Něžná Bára, Režná Bára</t>
  </si>
  <si>
    <t>https://flic.kr/s/aHskuhtQWe</t>
  </si>
  <si>
    <t>N 49°38.51322'. E 17°13.86532'</t>
  </si>
  <si>
    <t>KH Gurmán</t>
  </si>
  <si>
    <t>Pivovar KH Gurmán</t>
  </si>
  <si>
    <t>Horšovský Týn</t>
  </si>
  <si>
    <t>náměstí Republiky 2, Horšovský Týn - Město</t>
  </si>
  <si>
    <t>https://goo.gl/AW5v7d</t>
  </si>
  <si>
    <t>Jemný Gurmán, Tmavý Gurmán, Zlatý Gurmán</t>
  </si>
  <si>
    <t>N 49°31.79608'. E 12°56.58965'</t>
  </si>
  <si>
    <t>Uničov</t>
  </si>
  <si>
    <t>U císařské cesty</t>
  </si>
  <si>
    <t>Pivovar U císařské cesty</t>
  </si>
  <si>
    <t>Držovice</t>
  </si>
  <si>
    <t>Olomoucká 275/262, Držovice</t>
  </si>
  <si>
    <t>https://goo.gl/SMHihA</t>
  </si>
  <si>
    <t>Císař</t>
  </si>
  <si>
    <t>https://flic.kr/s/aHskyGWLKQ</t>
  </si>
  <si>
    <t>N 49°29.56873'. E 17°7.87652'</t>
  </si>
  <si>
    <t>Starý Hrad</t>
  </si>
  <si>
    <t>Pivovar Starý Hrad</t>
  </si>
  <si>
    <t>Nivy</t>
  </si>
  <si>
    <t>Nivy 4, Děpoltovice - Nivy</t>
  </si>
  <si>
    <t>https://goo.gl/nHYSB2</t>
  </si>
  <si>
    <t>Přírodní Pivní Lázně, s.r.o.</t>
  </si>
  <si>
    <t>S pivními lázněmi</t>
  </si>
  <si>
    <t>Karlsbader Beer, Starý hrad</t>
  </si>
  <si>
    <t>Staroslovanská kuchyně</t>
  </si>
  <si>
    <t>N 50°16.81753'. E 12°50.73178'</t>
  </si>
  <si>
    <t>Jadrníček</t>
  </si>
  <si>
    <t>Rodinný pivovar Jadrníček</t>
  </si>
  <si>
    <t>Náměšť na Hané</t>
  </si>
  <si>
    <t>Komenského 318, Náměšť na Hané</t>
  </si>
  <si>
    <t>https://goo.gl/xPVpt7</t>
  </si>
  <si>
    <t>Jadran, Jádro, Jadroš, Jadrník, Kotelník, Nitsche, Palírník, Žnec</t>
  </si>
  <si>
    <t>N 49°36.06977'. E 17°4.09238'</t>
  </si>
  <si>
    <t>Krušnohor</t>
  </si>
  <si>
    <t>Rodinný pivovar Krušnohor</t>
  </si>
  <si>
    <t>Kraslice - Tisová</t>
  </si>
  <si>
    <t>Tisová 1792, Kraslice - Tisová</t>
  </si>
  <si>
    <t>https://goo.gl/5FtWL3</t>
  </si>
  <si>
    <t>Pivovar Krušnohor s.r.o.</t>
  </si>
  <si>
    <t>Posezení s PETkama do originálního skla před pivovarem</t>
  </si>
  <si>
    <t>Severka</t>
  </si>
  <si>
    <t>N 50°20.89740'. E 12°30.67667'</t>
  </si>
  <si>
    <t>Centrum Eden</t>
  </si>
  <si>
    <t>Pivovar Centrum Eden</t>
  </si>
  <si>
    <t>Bystřice nad Pernštejnem</t>
  </si>
  <si>
    <t>Nový dvůr 318, Bystřice nad Pernštejnem</t>
  </si>
  <si>
    <t>https://goo.gl/JdySie</t>
  </si>
  <si>
    <t>Pivnice v areálu Panského dvora - vstupné</t>
  </si>
  <si>
    <t>Mittrowsky</t>
  </si>
  <si>
    <t>N 49°30.94167'. E 16°14.86175'</t>
  </si>
  <si>
    <t>Monopol</t>
  </si>
  <si>
    <t>Pivovar Monopol</t>
  </si>
  <si>
    <t>Teplice</t>
  </si>
  <si>
    <t>Masarykova třída 433/42, Teplice</t>
  </si>
  <si>
    <t>https://goo.gl/32WWKK</t>
  </si>
  <si>
    <t>Karlík, Monopol</t>
  </si>
  <si>
    <t>https://flic.kr/s/aHsmev7QxA</t>
  </si>
  <si>
    <t>N 50°38.58025'. E 13°49.78777'</t>
  </si>
  <si>
    <t>Šumický</t>
  </si>
  <si>
    <t>Šumický pivovar</t>
  </si>
  <si>
    <t>Viničné Šumice</t>
  </si>
  <si>
    <t>Viničné Šumice 389, Viničné Šumice</t>
  </si>
  <si>
    <t>Vizovice</t>
  </si>
  <si>
    <t>MKP</t>
  </si>
  <si>
    <t>https://goo.gl/KCgqS8</t>
  </si>
  <si>
    <t>Vildenberg</t>
  </si>
  <si>
    <t>Hradská restaurace</t>
  </si>
  <si>
    <t>https://flic.kr/s/aHsmgDuhwe</t>
  </si>
  <si>
    <t>N 49°12.84115'. E 16°49.42653'</t>
  </si>
  <si>
    <t>Velický Bombarďák</t>
  </si>
  <si>
    <t>Řemeslný pivovar Velický Bombarďák</t>
  </si>
  <si>
    <t>Velká nad Veličkou</t>
  </si>
  <si>
    <t>Velká nad Veličkou 111, Velká nad Veličkou</t>
  </si>
  <si>
    <t>https://goo.gl/Ahb62n</t>
  </si>
  <si>
    <t>Velický Bomarďák s.r.o.</t>
  </si>
  <si>
    <t>Anciáš, Bíla, Blaťák, Cigáň, Csípös Ejlos, FurtÁle, Geopivko, Lúcký Ogara, Otys, Šmukáč, Vašek, Velický Bombarďák</t>
  </si>
  <si>
    <t>Horňácký šenk</t>
  </si>
  <si>
    <t>N 48°52.76875'. E 17°31.23547'</t>
  </si>
  <si>
    <t>Pivovar Prachatice</t>
  </si>
  <si>
    <t>Horní 174, Prachatice - Prachatice I</t>
  </si>
  <si>
    <t>https://goo.gl/r1c7ur</t>
  </si>
  <si>
    <t>Pivovar Prachatice a.s.</t>
  </si>
  <si>
    <t>Bradáček, Prachatice</t>
  </si>
  <si>
    <t>N 49°0.73273'. E 13°59.81433'</t>
  </si>
  <si>
    <t>Dráteník</t>
  </si>
  <si>
    <t>Rodinný minipivovar Únanov</t>
  </si>
  <si>
    <t>Únanov</t>
  </si>
  <si>
    <t>Únanov 150, Únanov</t>
  </si>
  <si>
    <t>https://www.facebook.com/minipivovardratenik</t>
  </si>
  <si>
    <t>https://goo.gl/H5r3i2</t>
  </si>
  <si>
    <t>U Molíků</t>
  </si>
  <si>
    <t>N 48°54.07230'. E 16°3.59453'</t>
  </si>
  <si>
    <t>Novodvorský</t>
  </si>
  <si>
    <t>Novodvorský pivovar</t>
  </si>
  <si>
    <t>Lipník nad Bečvou - Nové Dvory</t>
  </si>
  <si>
    <t>Nové Dvory 70, Lipník nad Bečvou III - Nové Dvory</t>
  </si>
  <si>
    <t>https://goo.gl/4RkH8M</t>
  </si>
  <si>
    <t>Yveta Vaculíková</t>
  </si>
  <si>
    <t>Otevřeno pouze v pátek odpoledne</t>
  </si>
  <si>
    <t>Bombarďák, Božena, Černý Petr, Garde, Měďák, Notorik, Stydlivý bobr</t>
  </si>
  <si>
    <t>N 49°30.12790'. E 17°34.36343'</t>
  </si>
  <si>
    <t>Polivar</t>
  </si>
  <si>
    <t>Kopřivnický minipivovar Polivar</t>
  </si>
  <si>
    <t>Štefánikova 1323/39, Kopřivnice</t>
  </si>
  <si>
    <t>https://goo.gl/3ACi21</t>
  </si>
  <si>
    <t>Poležák, Polivar</t>
  </si>
  <si>
    <t>https://flic.kr/s/aHsmb9CEVs</t>
  </si>
  <si>
    <t>N 49°36.14433'. E 18°8.88425'</t>
  </si>
  <si>
    <t>Račínský</t>
  </si>
  <si>
    <t>Račínský minipivovar Richard</t>
  </si>
  <si>
    <t>Račín</t>
  </si>
  <si>
    <t>Račín 10, Račín</t>
  </si>
  <si>
    <t>https://goo.gl/gyEcBd</t>
  </si>
  <si>
    <t>Franšíza pivovaru Richard</t>
  </si>
  <si>
    <t>Hotel Leopold</t>
  </si>
  <si>
    <t>N 49°37.02910'. E 15°52.03275'</t>
  </si>
  <si>
    <t>Paličák</t>
  </si>
  <si>
    <t>Minipivovar Paličák</t>
  </si>
  <si>
    <t>Palačov</t>
  </si>
  <si>
    <t>Palačov 43, Starý Jičín - Palačov</t>
  </si>
  <si>
    <t>https://goo.gl/9ZFYu9</t>
  </si>
  <si>
    <t>Čulibrk, Krutihlav, Paličák</t>
  </si>
  <si>
    <t>N 49°33.02753'. E 17°55.34007'</t>
  </si>
  <si>
    <t>U Dobřenských</t>
  </si>
  <si>
    <t>Pivovar U Dobřenských</t>
  </si>
  <si>
    <t>U Dobřenských 268/3, Praha 1 - Staré Město</t>
  </si>
  <si>
    <t>https://goo.gl/L1qiG1</t>
  </si>
  <si>
    <t>Melissa, Salvia, Sambucus nigra, Tribulus</t>
  </si>
  <si>
    <t>N 50°5.04387'. E 14°24.93353'</t>
  </si>
  <si>
    <t>Raven</t>
  </si>
  <si>
    <t>Řemeslný pivovar Raven</t>
  </si>
  <si>
    <t>Mozartova 132/1, Plzeň 1 - Bolevec</t>
  </si>
  <si>
    <t>https://goo.gl/QQyTyZ</t>
  </si>
  <si>
    <t>Původní název Blahovar, přejmenování po rozchodu společníků</t>
  </si>
  <si>
    <t>Breezy, Brewhemian, Farmhand, Gunslinger, Kiwi, Laid to waste, McGillavry, Morrigan, Raven, Revenant, Sugar Daddy</t>
  </si>
  <si>
    <t>Raven pub</t>
  </si>
  <si>
    <t>N 49°46.14157'. E 13°22.55053'</t>
  </si>
  <si>
    <t>Nachmelená Opice</t>
  </si>
  <si>
    <t>Řemeslný pivovar Nachmelená Opice</t>
  </si>
  <si>
    <t>Krnov</t>
  </si>
  <si>
    <t>Textilní 1154/1, Krnov - Pod Cvilínem</t>
  </si>
  <si>
    <t>https://goo.gl/zXhPkm</t>
  </si>
  <si>
    <t>Nachmelená Opice s.r.o.</t>
  </si>
  <si>
    <t>Nachmelená Opice, Ich liebe dich, Kopičák</t>
  </si>
  <si>
    <t>N 50°5.25000'. E 17°42.15638'</t>
  </si>
  <si>
    <t>Beer Factory</t>
  </si>
  <si>
    <t>Pivovar Beer Factory</t>
  </si>
  <si>
    <t>Veleslavínova 13/21, Plzeň 3 - Vnitřní Město</t>
  </si>
  <si>
    <t>Hořovice</t>
  </si>
  <si>
    <t>https://goo.gl/jt62cA</t>
  </si>
  <si>
    <t>Beer Factory s.r.o.</t>
  </si>
  <si>
    <t>Beer Factory, La Trapp, Nevada</t>
  </si>
  <si>
    <t>N 49°44.93028'. E 13°22.65340'</t>
  </si>
  <si>
    <t>HoppyDog</t>
  </si>
  <si>
    <t>Pivovar HoppyDog</t>
  </si>
  <si>
    <t>Ostrava - Vítkovice</t>
  </si>
  <si>
    <t>Kutuzovova 603/27, Ostrava - Vítkovice</t>
  </si>
  <si>
    <t>Roudnice nad Labem</t>
  </si>
  <si>
    <t>https://goo.gl/4Unx43</t>
  </si>
  <si>
    <t>Pivovar HoppyDog s.r.o.</t>
  </si>
  <si>
    <t>Baskerville, Bloodhound, Dark Vader, Ginger Dog, Hoptimist, Kamikaze, Rider</t>
  </si>
  <si>
    <t>Psí kusy</t>
  </si>
  <si>
    <t>https://flic.kr/s/aHskwvBCm5</t>
  </si>
  <si>
    <t>N 49°48.72460'. E 18°16.36958'</t>
  </si>
  <si>
    <t>Borovinka</t>
  </si>
  <si>
    <t>Domanínský pivovar Borovinka</t>
  </si>
  <si>
    <t>Domanín</t>
  </si>
  <si>
    <t>Domanín 127, Bystřice nad Pernštejnem - Domanín</t>
  </si>
  <si>
    <t>http://www.borovinka.cz</t>
  </si>
  <si>
    <t>https://www.facebook.com/vysocina.borovinka</t>
  </si>
  <si>
    <t>https://goo.gl/U2cZpB</t>
  </si>
  <si>
    <t>exPivoWar s.r.o.</t>
  </si>
  <si>
    <t>Domanínská, Medard, Satan</t>
  </si>
  <si>
    <t>N 49°32.97522'. E 16°13.51550'</t>
  </si>
  <si>
    <t>U Supa</t>
  </si>
  <si>
    <t>Staroměstský pivovar U Supa</t>
  </si>
  <si>
    <t>Celetná 563/22, Praha 1 - Staré Město</t>
  </si>
  <si>
    <t>Lovosice</t>
  </si>
  <si>
    <t>https://goo.gl/KJzomQ</t>
  </si>
  <si>
    <t>Sup</t>
  </si>
  <si>
    <t>https://flic.kr/s/aHsmc7ESDq</t>
  </si>
  <si>
    <t>N 50°5.22598'. E 14°25.46500'</t>
  </si>
  <si>
    <t>Moucha</t>
  </si>
  <si>
    <t>Moucha Brewery</t>
  </si>
  <si>
    <t>Údolní 212/1, Praha 4 - Braník</t>
  </si>
  <si>
    <t>https://goo.gl/2rezPc</t>
  </si>
  <si>
    <t>Moucha Brewery Czech a.s.</t>
  </si>
  <si>
    <t>Bloncka, Masařka, Moniak, Moucha, Moniak, Mušák</t>
  </si>
  <si>
    <t>Soukromý klub Mušárna</t>
  </si>
  <si>
    <t>N 50°1.78390'. E 14°24.56152'</t>
  </si>
  <si>
    <t>Radobyčice</t>
  </si>
  <si>
    <t>Rodinný Pivovar Radobyčice</t>
  </si>
  <si>
    <t>Plzeň - Radobyčice</t>
  </si>
  <si>
    <t>Radobyčice 318, Plzeň 3 - Radobyčice</t>
  </si>
  <si>
    <t>https://goo.gl/1WXJu9</t>
  </si>
  <si>
    <t>Jitka Holubová</t>
  </si>
  <si>
    <t>Jezevec</t>
  </si>
  <si>
    <t>N 49°41.77040', E 13°23.97617'</t>
  </si>
  <si>
    <t>U Černého medvěda</t>
  </si>
  <si>
    <t>Pivovar U Černého medvěda</t>
  </si>
  <si>
    <t>Jablonné nad Orlicí</t>
  </si>
  <si>
    <t>Náměstí 5. května 24, Jablonné nad Orlicí</t>
  </si>
  <si>
    <t>https://goo.gl/VdQwJy</t>
  </si>
  <si>
    <t>Adlerka spol. s r.o.</t>
  </si>
  <si>
    <t>Černý medvěd</t>
  </si>
  <si>
    <t>https://flic.kr/s/aHsmdYue3r</t>
  </si>
  <si>
    <t>N 50°1.81302'. E 16°36.00448'</t>
  </si>
  <si>
    <t>Zlosin</t>
  </si>
  <si>
    <t>Pivovar Zlosin</t>
  </si>
  <si>
    <t>Velké Losiny</t>
  </si>
  <si>
    <t>Žárovská 10, Velké Losiny</t>
  </si>
  <si>
    <t>https://goo.gl/EugfoU</t>
  </si>
  <si>
    <t>https://flic.kr/s/aHsmbqzYBE</t>
  </si>
  <si>
    <t>N 50°2.01667'. E 17°1.67923'</t>
  </si>
  <si>
    <t>Záhora</t>
  </si>
  <si>
    <t>Řemeslný pivovar Záhora</t>
  </si>
  <si>
    <t>Kněžičky</t>
  </si>
  <si>
    <t>https://goo.gl/UTb2FQ</t>
  </si>
  <si>
    <t>Farma Záhora s.r.o.</t>
  </si>
  <si>
    <t>https://flic.kr/s/aHsmg8guj5</t>
  </si>
  <si>
    <t>N 50°10.48817'. E 15°20.90295'</t>
  </si>
  <si>
    <t>Záhlinický</t>
  </si>
  <si>
    <t>Záhlinický pivovar</t>
  </si>
  <si>
    <t>Hulín</t>
  </si>
  <si>
    <t>Záhlinice 67, Hulín - Záhlinice</t>
  </si>
  <si>
    <t>https://goo.gl/rsxbFn</t>
  </si>
  <si>
    <t>Raven Trading s.r.o.</t>
  </si>
  <si>
    <t>Hospodář</t>
  </si>
  <si>
    <t>N 49°17.34887'. E 17°29.42888'</t>
  </si>
  <si>
    <t>Kašperskohorský</t>
  </si>
  <si>
    <t>Kašperskohorský pivovar</t>
  </si>
  <si>
    <t>Kašperské Hory</t>
  </si>
  <si>
    <t>Náměstí 5, Kašperské Hory</t>
  </si>
  <si>
    <t>Strašín</t>
  </si>
  <si>
    <t>https://goo.gl/FEaveQ</t>
  </si>
  <si>
    <t>Kašperský pivovar s.r.o.</t>
  </si>
  <si>
    <t>Amálka, Cikánka, Kašperk, Šibeničák</t>
  </si>
  <si>
    <t>N 49°8.65540'. E 13°33.31887'</t>
  </si>
  <si>
    <t>Mazal</t>
  </si>
  <si>
    <t>Pivovar Mazal</t>
  </si>
  <si>
    <t>Prostějov - Vrahovice</t>
  </si>
  <si>
    <t>Josefa Hory 301/1, Prostějov - Vrahovice</t>
  </si>
  <si>
    <t>https://www.facebook.com/pivovar.mazal</t>
  </si>
  <si>
    <t>https://goo.gl/V43jn5</t>
  </si>
  <si>
    <t>Jiří Mazal</t>
  </si>
  <si>
    <t>Flumstón, Holdegrón, Lopón</t>
  </si>
  <si>
    <t>N 49°28.61557'. E 17°8.17877'</t>
  </si>
  <si>
    <t>Svatojakubský</t>
  </si>
  <si>
    <t>Svatojakubský pivovar</t>
  </si>
  <si>
    <t>Hluboké</t>
  </si>
  <si>
    <t>Hluboké 27, Hluboké</t>
  </si>
  <si>
    <t>https://goo.gl/5iJyST</t>
  </si>
  <si>
    <t>Ing. Miroslav Kopuletý</t>
  </si>
  <si>
    <t>Svatojakubské</t>
  </si>
  <si>
    <t>N 49°13.50738'. E 16°13.80078'</t>
  </si>
  <si>
    <t>Blatná</t>
  </si>
  <si>
    <t>Zámecký pivovar Blatná</t>
  </si>
  <si>
    <t>Plzeňská 315, Blatná</t>
  </si>
  <si>
    <t>https://goo.gl/SrBDYb</t>
  </si>
  <si>
    <t>Liqui B Zámecký ovocný lihovar Blatná s.r.o.</t>
  </si>
  <si>
    <t>Blatenský Kohout</t>
  </si>
  <si>
    <t>N 49°25.25633'. E 13°52.69353'</t>
  </si>
  <si>
    <t>Loužek</t>
  </si>
  <si>
    <t>Soukromý pivovar Loužek</t>
  </si>
  <si>
    <t>Kamenný Újezd</t>
  </si>
  <si>
    <t>Kamenný Újezd 268, Kamenný Újezd</t>
  </si>
  <si>
    <t>https://goo.gl/WG673g</t>
  </si>
  <si>
    <t>Plzeňské měšťanské pivovary, s.r.o.</t>
  </si>
  <si>
    <t>Na adrese pivovaru NELZE PIVO OCHUTNAT ANI KOUPIT!</t>
  </si>
  <si>
    <t>N 49°43.60060'. E 13°37.10522'</t>
  </si>
  <si>
    <t>Novej svět</t>
  </si>
  <si>
    <t>Pivovar Novej svět</t>
  </si>
  <si>
    <t>Čečelice</t>
  </si>
  <si>
    <t>Konětopská 166/31, Čečelice</t>
  </si>
  <si>
    <t>https://goo.gl/LrEJvR</t>
  </si>
  <si>
    <t>Dan Merc</t>
  </si>
  <si>
    <t>S venkovním posezením</t>
  </si>
  <si>
    <t>https://flic.kr/s/aHsmgttU4s</t>
  </si>
  <si>
    <t>N 50°17.53320'. E 14°37.34260'</t>
  </si>
  <si>
    <t>Kaberna</t>
  </si>
  <si>
    <t>Pivovar Kaberna</t>
  </si>
  <si>
    <t>Neratovice - Mlékojedy</t>
  </si>
  <si>
    <t>Hlavní 129, Neratovice - Mlékojedy</t>
  </si>
  <si>
    <t>https://goo.gl/qE32mj</t>
  </si>
  <si>
    <t>Jaroslav Verner</t>
  </si>
  <si>
    <t>Kabrňáček, Kabrňák, Zabiják iluzí</t>
  </si>
  <si>
    <t>S posezením v pivovaru</t>
  </si>
  <si>
    <t>N 50°15.72442'. E 14°32.09302'</t>
  </si>
  <si>
    <t>Na Čtyrce</t>
  </si>
  <si>
    <t>Pivovar Na Čtyrce</t>
  </si>
  <si>
    <t>Masarykovo náměstí 4, Pelhřimov</t>
  </si>
  <si>
    <t>https://goo.gl/re2AbY</t>
  </si>
  <si>
    <t>Adélka a.s.</t>
  </si>
  <si>
    <t>Bavorský, Novorychnovská, Pelhřimovská, Svatojakubský</t>
  </si>
  <si>
    <t>https://flic.kr/s/aHsm8S1k7w</t>
  </si>
  <si>
    <t>N 49°25.87770'. E 15°13.36853'</t>
  </si>
  <si>
    <t>Revolta</t>
  </si>
  <si>
    <t>nám. Republiky 64/14, Žďár nad Sázavou - Žďár nad Sázavou 1</t>
  </si>
  <si>
    <t>https://goo.gl/b98UFh</t>
  </si>
  <si>
    <t>EIC European Investment Company a.s.</t>
  </si>
  <si>
    <t>8Evženů, Dacan.zr, Revolta</t>
  </si>
  <si>
    <t>Revolta Beer &amp; Cafe</t>
  </si>
  <si>
    <t>N 49°33.72147'. E 15°56.34195'</t>
  </si>
  <si>
    <t>Welzl</t>
  </si>
  <si>
    <t>Pivovar Welzl Zábřeh</t>
  </si>
  <si>
    <t>Krumpach 2057/24a, Zábřeh</t>
  </si>
  <si>
    <t>https://goo.gl/kfUqUG</t>
  </si>
  <si>
    <t>Upper Brewing s.r.o.</t>
  </si>
  <si>
    <t>https://flic.kr/s/aHskuioq6M</t>
  </si>
  <si>
    <t>N 49°53.27920'. E 16°51.65885'</t>
  </si>
  <si>
    <t>Drahanovice</t>
  </si>
  <si>
    <t>Květnice</t>
  </si>
  <si>
    <t>Pivovar Květnice</t>
  </si>
  <si>
    <t>Hornická 1698, Tišnov</t>
  </si>
  <si>
    <t>https://goo.gl/CBM2WB</t>
  </si>
  <si>
    <t>Pivovar Květnice s.r.o.</t>
  </si>
  <si>
    <t>https://flic.kr/s/aHsmdLEUUx</t>
  </si>
  <si>
    <t>N 49°20.52253', E 16°26.11973'</t>
  </si>
  <si>
    <t>Na Lochkově</t>
  </si>
  <si>
    <t>Pivovar Na Lochkově</t>
  </si>
  <si>
    <t>Praha - Lochkov</t>
  </si>
  <si>
    <t>Ke Slivenci 36, Praha-Lochkov - Lochkov</t>
  </si>
  <si>
    <t>Albrechtice</t>
  </si>
  <si>
    <t>https://goo.gl/QvRFmY</t>
  </si>
  <si>
    <t>TITANIT, s.r.o.</t>
  </si>
  <si>
    <t>Álův ale, Ipička, Lochkovská</t>
  </si>
  <si>
    <t>N 50°0.16220'. E 14°21.29117'</t>
  </si>
  <si>
    <t>https://flic.kr/s/aHskFNjkH4</t>
  </si>
  <si>
    <t>Počernický</t>
  </si>
  <si>
    <t>Počernický pivovar</t>
  </si>
  <si>
    <t>Praha - Dolní Počernice</t>
  </si>
  <si>
    <t>Národních hrdinů 3, Praha-Dolní Počernice - Dolní Počernice</t>
  </si>
  <si>
    <t>https://goo.gl/SSP1yG</t>
  </si>
  <si>
    <t>Gastro Group Počernice s.r.o.</t>
  </si>
  <si>
    <t>N 50°5.30433'. E 14°34.85235'</t>
  </si>
  <si>
    <t>Perlová voda</t>
  </si>
  <si>
    <t>Pivovar Perlová voda</t>
  </si>
  <si>
    <t>Kostelec nad Ohří</t>
  </si>
  <si>
    <t>Kostelec nad Ohří 13, Budyně nad Ohří - Kostelec nad Ohří</t>
  </si>
  <si>
    <t>https://goo.gl/uYCXC1</t>
  </si>
  <si>
    <t>Lanýž</t>
  </si>
  <si>
    <t>N 50°23.72185'. E 14°5.48962'</t>
  </si>
  <si>
    <t>Millénium</t>
  </si>
  <si>
    <t>Pivovar Millénium</t>
  </si>
  <si>
    <t>Ústí nad Labem - Neštěmice</t>
  </si>
  <si>
    <t>Sibiřská 55, Ústí nad Labem - Neštěmice</t>
  </si>
  <si>
    <t>https://goo.gl/b3uhyV</t>
  </si>
  <si>
    <t>Green Light LED s.r.o.</t>
  </si>
  <si>
    <t>Dešťovka, Drsňák, Milláček</t>
  </si>
  <si>
    <t>https://flic.kr/s/aHsme9DHP6</t>
  </si>
  <si>
    <t>https://www.facebook.com/Starobelskypivovar</t>
  </si>
  <si>
    <t>N 50°40.73332'. E 14°5.91290'</t>
  </si>
  <si>
    <t>Uhříněves</t>
  </si>
  <si>
    <t>Pivovar Uhříněves</t>
  </si>
  <si>
    <t>Praha - Uhříněves</t>
  </si>
  <si>
    <t>K sokolovně 37, Praha 22 - Uhříněves</t>
  </si>
  <si>
    <t>https://goo.gl/1Vm1Cq</t>
  </si>
  <si>
    <t>Pivovar Uhříněves s.r.o.</t>
  </si>
  <si>
    <t>Alois</t>
  </si>
  <si>
    <t>Pivovarská zahradní restaurace</t>
  </si>
  <si>
    <t>https://flic.kr/s/aHsmfwXCHG</t>
  </si>
  <si>
    <t>N 50°1.67793'. E 14°36.41362'</t>
  </si>
  <si>
    <t>Obora</t>
  </si>
  <si>
    <t>Rodinný pivovar Obora</t>
  </si>
  <si>
    <t>Obora 4, Malšice - Obora</t>
  </si>
  <si>
    <t>https://goo.gl/dWNDZj</t>
  </si>
  <si>
    <t>Pivovar Obora s.r.o.</t>
  </si>
  <si>
    <t>Ježibaba, Žitohola</t>
  </si>
  <si>
    <t>N 49°20.32735'. E 14°38.32522'</t>
  </si>
  <si>
    <t>Jižan</t>
  </si>
  <si>
    <t>Minipivovar Jižan</t>
  </si>
  <si>
    <t>Jižní čtvrť III 2657/11, Přerov I - Město</t>
  </si>
  <si>
    <t>https://goo.gl/qVFU9g</t>
  </si>
  <si>
    <t>JIPR s.r.o.</t>
  </si>
  <si>
    <t>Jižan, Garant, Grál, Gróf, Grunt, Guvernér</t>
  </si>
  <si>
    <t>https://flic.kr/s/aHsmd9Eya2</t>
  </si>
  <si>
    <t>N 49°26.58718'. E 17°27.35787'</t>
  </si>
  <si>
    <t>Horácký</t>
  </si>
  <si>
    <t>Horácký pivovar</t>
  </si>
  <si>
    <t>Chlum</t>
  </si>
  <si>
    <t>Chlum 8, Chlum</t>
  </si>
  <si>
    <t>https://goo.gl/r7p3Wz</t>
  </si>
  <si>
    <t>Horácký pivovar, a.s.</t>
  </si>
  <si>
    <t>Horácké, Horácký</t>
  </si>
  <si>
    <t>N 49°18.76078'. E 15°46.06447'</t>
  </si>
  <si>
    <t>Bahno</t>
  </si>
  <si>
    <t>Pivovar Bahno</t>
  </si>
  <si>
    <t>náměstí Jana Pernera 217, Pardubice I - Zelené Předměstí</t>
  </si>
  <si>
    <t>https://goo.gl/4gt9Fm</t>
  </si>
  <si>
    <t>Ing. Martin Lammers</t>
  </si>
  <si>
    <t>V areálu bývalého nádražního bufetu</t>
  </si>
  <si>
    <t>https://flic.kr/s/aHsmfNrC4v</t>
  </si>
  <si>
    <t>N 50°1.94552'. E 15°45.34585'</t>
  </si>
  <si>
    <t>Maloskalský</t>
  </si>
  <si>
    <t>Maloskalský pivovar</t>
  </si>
  <si>
    <t>Malá Skála</t>
  </si>
  <si>
    <t>Labe 196, Malá Skála - Labe</t>
  </si>
  <si>
    <t>https://goo.gl/Da5gzD</t>
  </si>
  <si>
    <t>Maloskalský, Pantheonský</t>
  </si>
  <si>
    <t>https://flic.kr/s/aHsmb44QGC</t>
  </si>
  <si>
    <t>N 50°38.44503'. E 15°11.50570'</t>
  </si>
  <si>
    <t>Pánů z Růže Židovice</t>
  </si>
  <si>
    <t>Pivovar Pánů z Růže Židovice</t>
  </si>
  <si>
    <t>Židovice</t>
  </si>
  <si>
    <t>Židovice 16, Židovice</t>
  </si>
  <si>
    <t>https://goo.gl/Gj8xqC</t>
  </si>
  <si>
    <t>Bureš-sdružení s.r.o.</t>
  </si>
  <si>
    <t>Desítka z Roudnicka, Furiant, Hraběnka, Korzár, Vítek</t>
  </si>
  <si>
    <t>N 50°26.71633'. E 14°13.98422'</t>
  </si>
  <si>
    <t>Děpoltovice</t>
  </si>
  <si>
    <t>Skalický Budulínek</t>
  </si>
  <si>
    <t>Rodinný pivovar Skalický Budulínek</t>
  </si>
  <si>
    <t>Skalice u České Lípy</t>
  </si>
  <si>
    <t>Skalice u České Lípy 464, Skalice u České Lípy</t>
  </si>
  <si>
    <t>https://goo.gl/9PrXdu</t>
  </si>
  <si>
    <t>Po domluvě degustační posezení u varny</t>
  </si>
  <si>
    <t>Agáta, Bubák, Divá Bára, Na Tahu, Skaličák, Ženich</t>
  </si>
  <si>
    <t>https://flic.kr/s/aHsmeCG4rJ</t>
  </si>
  <si>
    <t>N 50°44.49835'. E 14°31.51417'</t>
  </si>
  <si>
    <t>Zichovec Louny</t>
  </si>
  <si>
    <t>Rodinný pivovar Zichovec v Lounech</t>
  </si>
  <si>
    <t>5. května 2789, Louny</t>
  </si>
  <si>
    <t>N 50°21.04002'. E 13°49.07618'</t>
  </si>
  <si>
    <t>Nota Bene</t>
  </si>
  <si>
    <t>Minipivovar Nota Bene</t>
  </si>
  <si>
    <t>Mikovcova 605/4, Praha 2 - Vinohrady</t>
  </si>
  <si>
    <t>http://www.notabene-restaurant.cz</t>
  </si>
  <si>
    <t>https://www.facebook.com/notaBeneRestaurant</t>
  </si>
  <si>
    <t>https://goo.gl/svRvrR</t>
  </si>
  <si>
    <t>Nota Bene s.r.o.</t>
  </si>
  <si>
    <t>https://flic.kr/s/aHsmfx1g6h</t>
  </si>
  <si>
    <t>N 50°4.57968'. E 14°25.84873'</t>
  </si>
  <si>
    <t>Továrna</t>
  </si>
  <si>
    <t>Kraslice</t>
  </si>
  <si>
    <t>Továrna Pivovar</t>
  </si>
  <si>
    <t>Wilsonova 689, Slaný</t>
  </si>
  <si>
    <t>https://goo.gl/v6GHXk</t>
  </si>
  <si>
    <t>Kruták, Protektor, Salzberg, Továrenská</t>
  </si>
  <si>
    <t>https://flic.kr/s/aHsmd4WGmv</t>
  </si>
  <si>
    <t>N 50°13.71713'. E 14°4.67823'</t>
  </si>
  <si>
    <t>Duck &amp; Dog</t>
  </si>
  <si>
    <t>Minipivovar Duck &amp; Dog</t>
  </si>
  <si>
    <t>Rajhrad</t>
  </si>
  <si>
    <t>Stará pošta 750, Rajhrad</t>
  </si>
  <si>
    <t>https://goo.gl/mfFA3i</t>
  </si>
  <si>
    <t>Původní název pivovaru "Beerserker"</t>
  </si>
  <si>
    <t>https://flic.kr/s/aHsmfNuP2X</t>
  </si>
  <si>
    <t>N 49°5.25635', E 16°35.38357'</t>
  </si>
  <si>
    <t>Kunratice</t>
  </si>
  <si>
    <t>Pivovar Kunratice</t>
  </si>
  <si>
    <t>Praha - Kunratice</t>
  </si>
  <si>
    <t>Vídeňská 405, Praha-Kunratice - Kunratice</t>
  </si>
  <si>
    <t>https://goo.gl/PUm5b9</t>
  </si>
  <si>
    <t>Pivovar Kunratice s.r.o.</t>
  </si>
  <si>
    <t>Muflon, Muflonka</t>
  </si>
  <si>
    <t>N 50°0.45777'. E 14°28.80410'</t>
  </si>
  <si>
    <t>Dědek</t>
  </si>
  <si>
    <t>Pivovar Dědek</t>
  </si>
  <si>
    <t>Dobronín</t>
  </si>
  <si>
    <t>Za Tratí 82/2, Dobronín</t>
  </si>
  <si>
    <t>https://goo.gl/6QJoPk</t>
  </si>
  <si>
    <t>Dědkovo pivo, o.s.</t>
  </si>
  <si>
    <t>Dědkovo</t>
  </si>
  <si>
    <t>N 49°28.74118'. E 15°38.45885'</t>
  </si>
  <si>
    <t>https://flic.kr/s/aHsmjtyEyy</t>
  </si>
  <si>
    <t>Riegrovka</t>
  </si>
  <si>
    <t>Minipivovar Riegrovka</t>
  </si>
  <si>
    <t>Riegrova 381/22, Olomouc</t>
  </si>
  <si>
    <t>Veselí nad Moravou</t>
  </si>
  <si>
    <t>https://goo.gl/JMhMJn</t>
  </si>
  <si>
    <t>https://flic.kr/s/aHsmd4WfnB</t>
  </si>
  <si>
    <t>N 49°35.69662'. E 17°14.89878'</t>
  </si>
  <si>
    <t>Trautenberk</t>
  </si>
  <si>
    <t>Pivovar Trautenberk</t>
  </si>
  <si>
    <t>Horní Malá Úpa</t>
  </si>
  <si>
    <t>Horní Malá Úpa 87, Malá Úpa - Horní Malá Úpa</t>
  </si>
  <si>
    <t>https://flic.kr/s/aHskDXybzP</t>
  </si>
  <si>
    <t>https://goo.gl/Y6aHeZ</t>
  </si>
  <si>
    <t>Pivovar Trautenberk, a.s.</t>
  </si>
  <si>
    <t>N 50°44.73118'. E 15°49.32102'</t>
  </si>
  <si>
    <t>Rodinný pivovar 713</t>
  </si>
  <si>
    <t>Albertova 713/21, Hradec Králové - Pražské Předměstí</t>
  </si>
  <si>
    <t>https://goo.gl/7Ck3Di</t>
  </si>
  <si>
    <t>1225, 1424, AHA!, Diana, Eliščin Šluk, O'Haaara, Rejčka</t>
  </si>
  <si>
    <t>Posezení v pivovaru, Domácí hospoda</t>
  </si>
  <si>
    <t>https://flic.kr/s/aHsmftMueq</t>
  </si>
  <si>
    <t>N 50°12.54400'. E 15°48.86395'</t>
  </si>
  <si>
    <t>Černý Orel</t>
  </si>
  <si>
    <t>Rodinný pivovar Černý Orel</t>
  </si>
  <si>
    <t>Osek</t>
  </si>
  <si>
    <t>Vilová 18, Osek</t>
  </si>
  <si>
    <t>https://www.facebook.com/minipivovarpalicak.cz</t>
  </si>
  <si>
    <t>https://goo.gl/BALc8K</t>
  </si>
  <si>
    <t>Dvanda, Karamela, Orlovský, Uzenáč, Výletník Véna</t>
  </si>
  <si>
    <t>N 50°37.39117'. E 13°41.40087'</t>
  </si>
  <si>
    <t>Starý Jičín</t>
  </si>
  <si>
    <t>2015 / 2018</t>
  </si>
  <si>
    <t>Harley Pub</t>
  </si>
  <si>
    <t>Pivovar Harley Pub</t>
  </si>
  <si>
    <t>Otrokovice</t>
  </si>
  <si>
    <t>Dr. E. Beneše 512, Otrokovice</t>
  </si>
  <si>
    <t>https://goo.gl/pniZkD</t>
  </si>
  <si>
    <t>King, Panhead, Scat, Shovel, Topper</t>
  </si>
  <si>
    <t>https://flic.kr/s/aHskxbamwh</t>
  </si>
  <si>
    <t>N 49°12.08378'. E 17°31.98872'</t>
  </si>
  <si>
    <t>Holendr</t>
  </si>
  <si>
    <t>Pivovar Holendr</t>
  </si>
  <si>
    <t>Hřbitovní 484/2, Valašské Meziříčí - Krásno nad Bečvou</t>
  </si>
  <si>
    <t>https://goo.gl/HDP8kv</t>
  </si>
  <si>
    <t>RIOS, spol. s r.o.</t>
  </si>
  <si>
    <t>https://flic.kr/s/aHsmb9AD1u</t>
  </si>
  <si>
    <t>N 49°28.89773'. E 17°58.02123'</t>
  </si>
  <si>
    <t>Husar</t>
  </si>
  <si>
    <t>Řemeslný pivovar Husar</t>
  </si>
  <si>
    <t>Koválovice-Osíčany</t>
  </si>
  <si>
    <t>Koválovice u Tištína 57, Koválovice-Osíčany - Koválovice u Tištína</t>
  </si>
  <si>
    <t>https://goo.gl/ibZgC5</t>
  </si>
  <si>
    <t>TEROSOL s.r.o.</t>
  </si>
  <si>
    <t>Husar, Husarský kousek</t>
  </si>
  <si>
    <t>N 49°16.99317'. E 17°10.28597'</t>
  </si>
  <si>
    <t>Pivovar Tišnov</t>
  </si>
  <si>
    <t>Ostrovec 822, Tišnov</t>
  </si>
  <si>
    <t>https://goo.gl/F2yxwo</t>
  </si>
  <si>
    <t>Pivovar Tišnov s.r.o.</t>
  </si>
  <si>
    <t>Abatyše Barbora, Mistr Šimon, Porter Coeli, Tišnovák, Tišnovan, Tišnovanka</t>
  </si>
  <si>
    <t>Tišnovská pivnice</t>
  </si>
  <si>
    <t>https://flic.kr/s/aHsmdLL1cB</t>
  </si>
  <si>
    <t>N 49°20.67167', E 16°25.18850'</t>
  </si>
  <si>
    <t>U sv. Štěpána</t>
  </si>
  <si>
    <t>Biskupský pivovar U sv. Štěpána</t>
  </si>
  <si>
    <t>Komenského 748/4, Litoměřice - Předměstí</t>
  </si>
  <si>
    <t>https://goo.gl/9BF2TW</t>
  </si>
  <si>
    <t>Ke stolu s.r.o.</t>
  </si>
  <si>
    <t>Děkan, Štěpán</t>
  </si>
  <si>
    <t>https://flic.kr/s/aHsmfwZhns</t>
  </si>
  <si>
    <t>N 50°32.24903'. E 14°7.62212'</t>
  </si>
  <si>
    <t>Bítov</t>
  </si>
  <si>
    <t>Hasičský pivovar Bítov</t>
  </si>
  <si>
    <t>Bítov 9, Bítov</t>
  </si>
  <si>
    <t>2014 / 2016</t>
  </si>
  <si>
    <t>https://goo.gl/nSZcUq</t>
  </si>
  <si>
    <t>Tesák</t>
  </si>
  <si>
    <t>N 48°56.25442'. E 15°43.78647'</t>
  </si>
  <si>
    <t>U Čápa</t>
  </si>
  <si>
    <t>Pivovar U Čápa Příchovice</t>
  </si>
  <si>
    <t>Příchovice</t>
  </si>
  <si>
    <t>Příchovice 1, Kořenov - Příchovice</t>
  </si>
  <si>
    <t>https://goo.gl/egX3En</t>
  </si>
  <si>
    <t>U Čápa Příchovice s.r.o.</t>
  </si>
  <si>
    <t>IPA britského guvernéra plukovníka Colonela, Rubenczal, Světoběžník JC</t>
  </si>
  <si>
    <t>N 50°44.38483'. E 15°20.76010'</t>
  </si>
  <si>
    <t>Znojemský</t>
  </si>
  <si>
    <t>Znojemský městský pivovar</t>
  </si>
  <si>
    <t>https://goo.gl/B9eeUe</t>
  </si>
  <si>
    <t>Znojemský městský pivovar a.s.</t>
  </si>
  <si>
    <t>Znojemská</t>
  </si>
  <si>
    <t>Rezek</t>
  </si>
  <si>
    <t>Pivovar Rezek</t>
  </si>
  <si>
    <t>Zásada</t>
  </si>
  <si>
    <t>Zásada 154, Zásada</t>
  </si>
  <si>
    <t>https://goo.gl/tSFzXw</t>
  </si>
  <si>
    <t>Pivovar Rezek s.r.o.</t>
  </si>
  <si>
    <t>Před hospodou samovýčep</t>
  </si>
  <si>
    <t>https://flic.kr/s/aHsm8TLpnG</t>
  </si>
  <si>
    <t>N 50°41.80042'. E 15°16.10240'</t>
  </si>
  <si>
    <t>Hrboun</t>
  </si>
  <si>
    <t>Pivovar Hrboun</t>
  </si>
  <si>
    <t>Pávovská 3106/19, Jihlava</t>
  </si>
  <si>
    <t>https://goo.gl/WZGNQ3</t>
  </si>
  <si>
    <t>Pivovar Hrboun s.r.o.</t>
  </si>
  <si>
    <t>Posezení v pivovaru</t>
  </si>
  <si>
    <t>N 49°25.57962'. E 15°35.94412'</t>
  </si>
  <si>
    <t>Hasič</t>
  </si>
  <si>
    <t>Pivovar Hasič</t>
  </si>
  <si>
    <t>Ruská 1448/1, Bruntál</t>
  </si>
  <si>
    <t>https://goo.gl/jG8kmB</t>
  </si>
  <si>
    <t>https://flic.kr/s/aHsmfnUe8T</t>
  </si>
  <si>
    <t>N 49°59.29518'. E 17°27.78245'</t>
  </si>
  <si>
    <t>Měšťanský pivovar v Klatovech</t>
  </si>
  <si>
    <t>Budovcova 833, Klatovy - Klatovy III</t>
  </si>
  <si>
    <t>https://goo.gl/6W6SfC</t>
  </si>
  <si>
    <t>Klatovské</t>
  </si>
  <si>
    <t>N 49°23.95587'. E 13°17.24525'</t>
  </si>
  <si>
    <t>Manner</t>
  </si>
  <si>
    <t>Minipivovar Manner</t>
  </si>
  <si>
    <t>Bohdalice-Pavlovice</t>
  </si>
  <si>
    <t>Bohdalice 306, Bohdalice-Pavlovice - Bohdalice</t>
  </si>
  <si>
    <t>https://goo.gl/DWDk6z</t>
  </si>
  <si>
    <t>Výčep v rámci akcí na ranči</t>
  </si>
  <si>
    <t>https://flic.kr/s/aHsmgDtJqv</t>
  </si>
  <si>
    <t>N 49°13.33373'. E 17°2.35060'</t>
  </si>
  <si>
    <t>Plasy</t>
  </si>
  <si>
    <t>Knížecí pivovar Plasy</t>
  </si>
  <si>
    <t>Pivovarská 34, Plasy</t>
  </si>
  <si>
    <t>https://goo.gl/kqYkwG</t>
  </si>
  <si>
    <t>Knížecí pivovar Plasy s.r.o.</t>
  </si>
  <si>
    <t>Císař pán, Felčar, Mettrnich, Nachmelenec, Vašnosta, Vidlák</t>
  </si>
  <si>
    <t>https://flic.kr/s/aHsktGw3Ep</t>
  </si>
  <si>
    <t>N 49°56.10238'. E 13°23.35225'</t>
  </si>
  <si>
    <t>Poděbrady</t>
  </si>
  <si>
    <t>Chříč</t>
  </si>
  <si>
    <t>Pivovar Chříč</t>
  </si>
  <si>
    <t>Chříč 2, Chříč</t>
  </si>
  <si>
    <t>https://flic.kr/s/aHskJBHxkt</t>
  </si>
  <si>
    <t>https://goo.gl/ePCJAg</t>
  </si>
  <si>
    <t>Pivovar Chříč s.r.o.</t>
  </si>
  <si>
    <t>Nebožtík, Pazdrát, Vzkříšení</t>
  </si>
  <si>
    <t>https://flic.kr/s/aHsmeQPekf</t>
  </si>
  <si>
    <t>N 49°58.28552'. E 13°38.88167'</t>
  </si>
  <si>
    <t>Česká Kamenice</t>
  </si>
  <si>
    <t>Pivovar Česká Kamenice</t>
  </si>
  <si>
    <t>Pivovarská 3, Česká Kamenice</t>
  </si>
  <si>
    <t>https://goo.gl/s2XGXr</t>
  </si>
  <si>
    <t>K24 s.r.o.</t>
  </si>
  <si>
    <t>Kamenický Dukát, Kaple, Podkova, Poklad, Rytíř</t>
  </si>
  <si>
    <t>https://flic.kr/s/aHsmgwGC6c</t>
  </si>
  <si>
    <t>N 50°47.88178'. E 14°24.89000'</t>
  </si>
  <si>
    <t>Gwern</t>
  </si>
  <si>
    <t>Rodinný minipivovar Gwern</t>
  </si>
  <si>
    <t>Nupaky</t>
  </si>
  <si>
    <t>Benická 519, Nupaky</t>
  </si>
  <si>
    <t>https://flic.kr/s/aHskzoqajP</t>
  </si>
  <si>
    <t>https://goo.gl/4V6Fi1</t>
  </si>
  <si>
    <t>GWERN s.r.o.</t>
  </si>
  <si>
    <t>N 49°59.74120'. E 14°36.19423'</t>
  </si>
  <si>
    <t>Náměšť nad Oslavou</t>
  </si>
  <si>
    <t>Na Vyhlídce</t>
  </si>
  <si>
    <t>Minipivovar Na Vyhlídce</t>
  </si>
  <si>
    <t>Moravská Nová Ves</t>
  </si>
  <si>
    <t>Na Kopci 575, Moravská Nová Ves</t>
  </si>
  <si>
    <t>https://goo.gl/1mHT7F</t>
  </si>
  <si>
    <t>Minipivovar Na Vyhlídce s.r.o.</t>
  </si>
  <si>
    <t>Novoveská</t>
  </si>
  <si>
    <t>N 48°47.95350'. E 17°1.60098'</t>
  </si>
  <si>
    <t>Hladov</t>
  </si>
  <si>
    <t>Rodinný pivovar Pospíchalovi</t>
  </si>
  <si>
    <t>Hladov 76, Hladov</t>
  </si>
  <si>
    <t>https://goo.gl/4SxMPr</t>
  </si>
  <si>
    <t>Sabina Pospíchalová</t>
  </si>
  <si>
    <t>Novoříšské</t>
  </si>
  <si>
    <t>N 49°12.62160'. E 15°36.62217'</t>
  </si>
  <si>
    <t>Ondra</t>
  </si>
  <si>
    <t>Pivovar Ondra</t>
  </si>
  <si>
    <t>Brandýs nad Labem-Stará Boleslav</t>
  </si>
  <si>
    <t>Sídliště BSS 1335/8, Brandýs nad Labem-Stará Boleslav - Brandýs nad Labem</t>
  </si>
  <si>
    <t>https://www.pivovarondra.cz</t>
  </si>
  <si>
    <t>https://www.facebook.com/pivovarondra</t>
  </si>
  <si>
    <t>https://goo.gl/Zb7MNs</t>
  </si>
  <si>
    <t>Pivovar Ondra s.r.o.</t>
  </si>
  <si>
    <t>Komoří Lang, Mlynářka, Wall Street</t>
  </si>
  <si>
    <t>Na Veslovce</t>
  </si>
  <si>
    <t>N 50°11.37687', E 14°38.87080'</t>
  </si>
  <si>
    <t>Balónový</t>
  </si>
  <si>
    <t>Balónový pivovar Radešín</t>
  </si>
  <si>
    <t>Radešín</t>
  </si>
  <si>
    <t>Radešín 11, Radešín</t>
  </si>
  <si>
    <t>https://goo.gl/6w2k32</t>
  </si>
  <si>
    <t>Balónový hotel s.r.o.</t>
  </si>
  <si>
    <t>Aviatik, Bobrůvka, Samuel, Vrtule</t>
  </si>
  <si>
    <t>N 49°28.09905'. E 16°5.38340'</t>
  </si>
  <si>
    <t>Němý Medvěd</t>
  </si>
  <si>
    <t>Minipivovar Němý Medvěd</t>
  </si>
  <si>
    <t>Akátová 3527, Mělník</t>
  </si>
  <si>
    <t>https://goo.gl/CPnP3g</t>
  </si>
  <si>
    <t>Petr Němec</t>
  </si>
  <si>
    <t>Němý Medvěd Beer &amp; burger bar</t>
  </si>
  <si>
    <t>https://flic.kr/s/aHsmhBQxG8</t>
  </si>
  <si>
    <t>N 50°21.71442'. E 14°29.48030'</t>
  </si>
  <si>
    <t>Zbraslavice</t>
  </si>
  <si>
    <t>Zámecký pivovar Zbraslavice</t>
  </si>
  <si>
    <t>Zbraslavice 2, Zbraslavice</t>
  </si>
  <si>
    <t>https://goo.gl/tXG9P5</t>
  </si>
  <si>
    <t>Pivovar Zbraslavice s.r.o.</t>
  </si>
  <si>
    <t>Hubert, Markold, Mikuláš, Permoník</t>
  </si>
  <si>
    <t>N 49°48.74248'. E 15°10.89205'</t>
  </si>
  <si>
    <t>Panský Mlýn</t>
  </si>
  <si>
    <t>Minipivovar Panský Mlýn</t>
  </si>
  <si>
    <t>Opava - Kylešovice</t>
  </si>
  <si>
    <t>U Panského mlýna 267/28, Opava - Kylešovice</t>
  </si>
  <si>
    <t>Neratovice</t>
  </si>
  <si>
    <t>https://goo.gl/wyzjr8</t>
  </si>
  <si>
    <t>Brtník, Grizzly, Kodiak</t>
  </si>
  <si>
    <t>https://flic.kr/s/aHsktp7nXT</t>
  </si>
  <si>
    <t>N 49°54.46737'. E 17°54.71478'</t>
  </si>
  <si>
    <t>Kelč</t>
  </si>
  <si>
    <t>Minipivovar Kelč</t>
  </si>
  <si>
    <t>Kelč 112, Kelč</t>
  </si>
  <si>
    <t>https://goo.gl/oALSY5</t>
  </si>
  <si>
    <t>Minipivovar Kelč s.r.o.</t>
  </si>
  <si>
    <t>Dubravius</t>
  </si>
  <si>
    <t>https://flic.kr/s/aHsmgDktDc</t>
  </si>
  <si>
    <t>N 49°28.47183'. E 17°49.37655'</t>
  </si>
  <si>
    <t>Národní</t>
  </si>
  <si>
    <t>Pivovar Národní</t>
  </si>
  <si>
    <t>Národní 139/8, Praha 1 - Nové Město</t>
  </si>
  <si>
    <t>https://goo.gl/X7BP3f</t>
  </si>
  <si>
    <t>PIVOVAR NÁRODNÍ TŘÍDA s. r. o.</t>
  </si>
  <si>
    <t>Czech Lion, Národní</t>
  </si>
  <si>
    <t>N 50°4.87703'. E 14°24.91203'</t>
  </si>
  <si>
    <t>Jílovice</t>
  </si>
  <si>
    <t>Pivovar Jílovice</t>
  </si>
  <si>
    <t>Jílovice 147, Jílovice</t>
  </si>
  <si>
    <t>https://goo.gl/mFJPnx</t>
  </si>
  <si>
    <t>Pivovar Jílovice z.s.</t>
  </si>
  <si>
    <t>Jílovické</t>
  </si>
  <si>
    <t>N 48°53.03937'. E 14°43.89957'</t>
  </si>
  <si>
    <t>Berko</t>
  </si>
  <si>
    <t>Minipivovar Berko Bernartice</t>
  </si>
  <si>
    <t>Bernartice</t>
  </si>
  <si>
    <t>Bernartice 96, Bernartice</t>
  </si>
  <si>
    <t>https://www.facebook.com/Berko-1627199740859035</t>
  </si>
  <si>
    <t>https://goo.gl/y966At</t>
  </si>
  <si>
    <t>Jan Jaško</t>
  </si>
  <si>
    <t>Vranihorský</t>
  </si>
  <si>
    <t>N 50°38.99403'. E 15°58.02077'</t>
  </si>
  <si>
    <t>PHM</t>
  </si>
  <si>
    <t>První havířovský minipivovar</t>
  </si>
  <si>
    <t>Selská 1589/8a, Havířov - Město</t>
  </si>
  <si>
    <t>https://goo.gl/bb1Ruv</t>
  </si>
  <si>
    <t>QX PROMOTION a.s.</t>
  </si>
  <si>
    <t>Hutman, Kvarc, Magdon, Maryčka, Maur</t>
  </si>
  <si>
    <t>https://flic.kr/s/aHsmb9BP3m</t>
  </si>
  <si>
    <t>N 49°46.42753'. E 18°26.00795'</t>
  </si>
  <si>
    <t>Olivův</t>
  </si>
  <si>
    <t>Olivův pivovar Dolní Břežany</t>
  </si>
  <si>
    <t>Dolní Břežany</t>
  </si>
  <si>
    <t>Za Radnicí 739, Dolní Břežany</t>
  </si>
  <si>
    <t>https://www.facebook.com/pivo.kvetnice</t>
  </si>
  <si>
    <t>https://goo.gl/URrV9V</t>
  </si>
  <si>
    <t>Olivův pivovar s. r. o.</t>
  </si>
  <si>
    <t>Dolnobřežanská, Gari, Kníže Václav, Laser beer, Theodor, York</t>
  </si>
  <si>
    <t>https://flic.kr/s/aHsmfxH6qF</t>
  </si>
  <si>
    <t>N 49°57.72822'. E 14°27.41423'</t>
  </si>
  <si>
    <t>Helene</t>
  </si>
  <si>
    <t>Kytlický mini pivovar Helene</t>
  </si>
  <si>
    <t>Kytlice</t>
  </si>
  <si>
    <t>Kytlice 120, Kytlice</t>
  </si>
  <si>
    <t>https://goo.gl/AVa33X</t>
  </si>
  <si>
    <t>Pension Helene</t>
  </si>
  <si>
    <t>Adonis, Grácie</t>
  </si>
  <si>
    <t>https://flic.kr/s/aHskwvHZw9</t>
  </si>
  <si>
    <t>N 50°48.75977'. E 14°31.91328'</t>
  </si>
  <si>
    <t>https://www.facebook.com/pivovarpocernicecz</t>
  </si>
  <si>
    <t>Mejto</t>
  </si>
  <si>
    <t>Pivovar Mejto</t>
  </si>
  <si>
    <t>Vysoké Mýto</t>
  </si>
  <si>
    <t>Masarykovo náměstí 155, Vysoké Mýto - Litomyšlské Předměstí</t>
  </si>
  <si>
    <t>https://goo.gl/4rKRDM</t>
  </si>
  <si>
    <t>Evžen Řehák</t>
  </si>
  <si>
    <t>Původní název pivovaru: "Kujeba"</t>
  </si>
  <si>
    <t>Mejťák</t>
  </si>
  <si>
    <t>N 49°56.94068'. E 16°9.18167'</t>
  </si>
  <si>
    <t>Bylnice</t>
  </si>
  <si>
    <t>Pivovar Bylnice</t>
  </si>
  <si>
    <t>Brumov-Bylnice</t>
  </si>
  <si>
    <t>Mýto 44, Brumov-Bylnice - Bylnice</t>
  </si>
  <si>
    <t>Budyně nad Ohří</t>
  </si>
  <si>
    <t>https://goo.gl/VHb138</t>
  </si>
  <si>
    <t>PIVOVAR Bylnice s.r.o.</t>
  </si>
  <si>
    <t>Bobův ležák, Jantarový stoják, Podstraňák</t>
  </si>
  <si>
    <t>https://flic.kr/s/aHsmgQ1VSM</t>
  </si>
  <si>
    <t>N 49°4.62075'. E 18°0.62937'</t>
  </si>
  <si>
    <t>Lobeč</t>
  </si>
  <si>
    <t>Parostrojní pivovar v Lobči u Mšena</t>
  </si>
  <si>
    <t>Lobeč 34, Lobeč</t>
  </si>
  <si>
    <t>https://goo.gl/S6ZrFA</t>
  </si>
  <si>
    <t>Pivovar Lobeč s.r.o.</t>
  </si>
  <si>
    <t>Sezónní pivovarský výčep</t>
  </si>
  <si>
    <t>N 50°27.65823'. E 14°40.00763'</t>
  </si>
  <si>
    <t>Ossegg</t>
  </si>
  <si>
    <t>Pivovar Cisterciáckého opatství Ossegg</t>
  </si>
  <si>
    <t>Rooseveltova 1, Osek</t>
  </si>
  <si>
    <t>https://goo.gl/Yx4npY</t>
  </si>
  <si>
    <t>OSSEGG Pivovary s.r.o.</t>
  </si>
  <si>
    <t>Jindřich, Ossegg, Philipp, Tomáš</t>
  </si>
  <si>
    <t>https://flic.kr/s/aHsm78QCHU</t>
  </si>
  <si>
    <t>N 50°37.30435'. E 13°41.72048'</t>
  </si>
  <si>
    <t>U Lenocha</t>
  </si>
  <si>
    <t>Pivovar U Lenocha</t>
  </si>
  <si>
    <t>Pod Rozhlednou 700/31, Plzeň 4 - Újezd</t>
  </si>
  <si>
    <t>https://goo.gl/B8nJZ7</t>
  </si>
  <si>
    <t>Vítězslav Procházka</t>
  </si>
  <si>
    <t>Lenoch</t>
  </si>
  <si>
    <t>N 49°45.69515'. E 13°26.06252'</t>
  </si>
  <si>
    <t>Hradní</t>
  </si>
  <si>
    <t>Hradní pivovar Hustopeče</t>
  </si>
  <si>
    <t>Hradní 199/2, Hustopeče</t>
  </si>
  <si>
    <t>https://goo.gl/gQ4MZu</t>
  </si>
  <si>
    <t>N 48°56.10970'. E 16°43.92935'</t>
  </si>
  <si>
    <t>Český Rudolec</t>
  </si>
  <si>
    <t>Zámecký Pivovar Český Rudolec</t>
  </si>
  <si>
    <t>Český Rudolec 75, Český Rudolec</t>
  </si>
  <si>
    <t>https://goo.gl/ZbbZvB</t>
  </si>
  <si>
    <t>Malá Hluboká a.s.</t>
  </si>
  <si>
    <t>Coura, Černá růže, Grasel, Rytíř Picchioni, Štěpán, Vladyka</t>
  </si>
  <si>
    <t>N 49°4.01340'. E 15°19.55107'</t>
  </si>
  <si>
    <t>Malšice</t>
  </si>
  <si>
    <t>Galant</t>
  </si>
  <si>
    <t>Mikulovský pivovar Galant</t>
  </si>
  <si>
    <t>Mlýnská 739/2, Mikulov</t>
  </si>
  <si>
    <t>https://goo.gl/nsSwZk</t>
  </si>
  <si>
    <t>Hotel Galant s.r.o.</t>
  </si>
  <si>
    <t>https://flic.kr/s/aHsmfHmFut</t>
  </si>
  <si>
    <t>N 48°48.45550'. E 16°38.43835'</t>
  </si>
  <si>
    <t>Albert</t>
  </si>
  <si>
    <t>Zámecký pivovar Albert</t>
  </si>
  <si>
    <t>Sobotín</t>
  </si>
  <si>
    <t>Sobotín 13, Sobotín</t>
  </si>
  <si>
    <t>https://goo.gl/s7psU5</t>
  </si>
  <si>
    <t>Zámecký Resort Sobotín</t>
  </si>
  <si>
    <t>Motorest Permoník, Restaurant Savarin (zde je pivo o cca 150% dražší)</t>
  </si>
  <si>
    <t>https://flic.kr/s/aHskwMknb1</t>
  </si>
  <si>
    <t>N 50°1.09850'. E 17°4.85323'</t>
  </si>
  <si>
    <t>2016 / 2018</t>
  </si>
  <si>
    <t>Příšov</t>
  </si>
  <si>
    <t>Minipivovar Příšov</t>
  </si>
  <si>
    <t>Příšov 30, Příšov</t>
  </si>
  <si>
    <t>https://www.facebook.com/Horácký-Pivovar-original-219903268487473</t>
  </si>
  <si>
    <t>Létající? Prý vaří v pivovaru Hrboun.</t>
  </si>
  <si>
    <t>https://goo.gl/phGdK2</t>
  </si>
  <si>
    <t>PEKR service s.r.o.</t>
  </si>
  <si>
    <t>Příšovská</t>
  </si>
  <si>
    <t>https://flic.kr/s/aHsm82YZr9</t>
  </si>
  <si>
    <t>N 49°48.71427'. E 13°18.23230'</t>
  </si>
  <si>
    <t>Čechovka</t>
  </si>
  <si>
    <t>Pivovar Čechovka</t>
  </si>
  <si>
    <t>U Kasáren 1518, Havlíčkův Brod</t>
  </si>
  <si>
    <t>https://goo.gl/fyLwYn</t>
  </si>
  <si>
    <t>Ing. Tomáš Štefánek</t>
  </si>
  <si>
    <t>Gulbrúna, Karel, Mnichov, Rosomák, Šklíba, Zrzek</t>
  </si>
  <si>
    <t>Hospůdka Čechovka</t>
  </si>
  <si>
    <t>N 49°36.01257'. E 15°34.11612'</t>
  </si>
  <si>
    <t>Kozojedy</t>
  </si>
  <si>
    <t>Pivovar Kozojedy</t>
  </si>
  <si>
    <t>Kozojedy 120, Kozojedy</t>
  </si>
  <si>
    <t>https://goo.gl/BVwDpN</t>
  </si>
  <si>
    <t>Pivovar Kozojedy s.r.o.</t>
  </si>
  <si>
    <t>https://flic.kr/s/aHsm7pXojd</t>
  </si>
  <si>
    <t>N 49°56.00897'. E 13°32.53812'</t>
  </si>
  <si>
    <t>Hluboká</t>
  </si>
  <si>
    <t>Pivovar Hluboká</t>
  </si>
  <si>
    <t>Hluboká nad Vltavou</t>
  </si>
  <si>
    <t>nám. Čsl. armády 1111, Hluboká nad Vltavou</t>
  </si>
  <si>
    <t>http://pivovarhluboka.cz</t>
  </si>
  <si>
    <t>Jablonec nad Nisou</t>
  </si>
  <si>
    <t>https://goo.gl/F61XQf</t>
  </si>
  <si>
    <t>Pivovar Hluboká s.r.o.</t>
  </si>
  <si>
    <t>Baltazar, Kašpar, Melichar</t>
  </si>
  <si>
    <t>N 49°3.05822'. E 14°26.16235'</t>
  </si>
  <si>
    <t>Ogar</t>
  </si>
  <si>
    <t>Pivovar Ogar</t>
  </si>
  <si>
    <t>Kunčice pod Ondřejníkem</t>
  </si>
  <si>
    <t>Kunčice pod Ondřejníkem 315, Kunčice pod Ondřejníkem</t>
  </si>
  <si>
    <t>https://www.pivovarogar.cz</t>
  </si>
  <si>
    <t>https://www.facebook.com/pivovarogar</t>
  </si>
  <si>
    <t>https://goo.gl/zSdMsB</t>
  </si>
  <si>
    <t>Kunčický pivovar s.r.o.</t>
  </si>
  <si>
    <t>Do února 2018 fungoval pod názvem "Kunčický pivovar"</t>
  </si>
  <si>
    <t>(Richard), Ogar</t>
  </si>
  <si>
    <t>https://flic.kr/s/aHsmdYrJPg</t>
  </si>
  <si>
    <t>N 49°32.12885'. E 18°17.68893'</t>
  </si>
  <si>
    <t>Grádo</t>
  </si>
  <si>
    <t>Pivovar MFC-GRADO</t>
  </si>
  <si>
    <t>Červený Mlýn 170, Tišnov</t>
  </si>
  <si>
    <t>https://goo.gl/6tBDDJ</t>
  </si>
  <si>
    <t>MFC-GRADO, s.r.o.</t>
  </si>
  <si>
    <t>https://flic.kr/s/aHsmfgWiNj</t>
  </si>
  <si>
    <t>N 49°20.47387', E 16°25.21040'</t>
  </si>
  <si>
    <t>Transformátor</t>
  </si>
  <si>
    <t>První rodinný poloautomatický pivovar Hlavatce</t>
  </si>
  <si>
    <t>Hlavatce</t>
  </si>
  <si>
    <t>Hlavatce 9, Hlavatce</t>
  </si>
  <si>
    <t>https://www.facebook.com/pivovar.transformator</t>
  </si>
  <si>
    <t>https://goo.gl/G5gXKV</t>
  </si>
  <si>
    <t>Josef Boháč</t>
  </si>
  <si>
    <t>Diktátor, Transformátor</t>
  </si>
  <si>
    <t>N 49°17.79488'. E 14°37.37053'</t>
  </si>
  <si>
    <t>Kytín</t>
  </si>
  <si>
    <t>Pivovar Kytín</t>
  </si>
  <si>
    <t>Kytín 205, Kytín</t>
  </si>
  <si>
    <t>https://goo.gl/E2Utsk</t>
  </si>
  <si>
    <t>Pivovar Kytín s.r.o.</t>
  </si>
  <si>
    <t>Kytínská</t>
  </si>
  <si>
    <t>N 49°51.04782'. E 14°13.15742'</t>
  </si>
  <si>
    <t>Loď</t>
  </si>
  <si>
    <t>Loď Pivovar</t>
  </si>
  <si>
    <t>Dvořákovo nábřeží, Štefánikův most - Kotviště číslo 19, Praha 1 - Staré Město</t>
  </si>
  <si>
    <t>https://goo.gl/iKkdtN</t>
  </si>
  <si>
    <t>Vltavská plavební s.r.o.</t>
  </si>
  <si>
    <t>Legie, Monarchie, Remorkér, Republika, Titanic</t>
  </si>
  <si>
    <t>https://flic.kr/s/aHsmeQLtKd</t>
  </si>
  <si>
    <t>N 50°5.60788'. E 14°25.58110'</t>
  </si>
  <si>
    <t>Malešov</t>
  </si>
  <si>
    <t>Přátelský pivovar Malešov</t>
  </si>
  <si>
    <t>Malešov 56, Malešov</t>
  </si>
  <si>
    <t>2016 / 2017</t>
  </si>
  <si>
    <t>https://goo.gl/8E8vqS</t>
  </si>
  <si>
    <t>Přátelský pivovar Malešov a.s.</t>
  </si>
  <si>
    <t>N 49°54.68627'. E 15°13.31658'</t>
  </si>
  <si>
    <t>Jarošovský</t>
  </si>
  <si>
    <t>Jarošovský pivovar</t>
  </si>
  <si>
    <t>Uherské Hradiště - Jarošov</t>
  </si>
  <si>
    <t>Pivovarská 303, Uherské Hradiště - Jarošov</t>
  </si>
  <si>
    <t>https://goo.gl/PNdnSh</t>
  </si>
  <si>
    <t>Jarošovský pivovar a.s.</t>
  </si>
  <si>
    <t>Jarošovská, Jarošovský Jura, Šohaj</t>
  </si>
  <si>
    <t>N 49°4.95888'. E 17°29.42963'</t>
  </si>
  <si>
    <t>U Šenkýřů</t>
  </si>
  <si>
    <t>Šťáhlavický Pivovar U Šenkýřů</t>
  </si>
  <si>
    <t>Šťáhlavice</t>
  </si>
  <si>
    <t>Šťáhlavice 150, Šťáhlavy - Šťáhlavice</t>
  </si>
  <si>
    <t>https://goo.gl/jTSGgu</t>
  </si>
  <si>
    <t>Haneza s.r.o.</t>
  </si>
  <si>
    <t>Lopata, Šťáhlavický Kosičkář</t>
  </si>
  <si>
    <t>N 49°39.57832'. E 13°31.57255'</t>
  </si>
  <si>
    <t>Máša</t>
  </si>
  <si>
    <t>Pivovar Máša</t>
  </si>
  <si>
    <t>Řevničov</t>
  </si>
  <si>
    <t>Vrchlického 259, Řevničov</t>
  </si>
  <si>
    <t>https://goo.gl/bkKDkU</t>
  </si>
  <si>
    <t>Don Chichot, Sheriff</t>
  </si>
  <si>
    <t>N 50°10.90617'. E 13°48.61785'</t>
  </si>
  <si>
    <t>Křikloun</t>
  </si>
  <si>
    <t>Domácí minipivovar Křikloun</t>
  </si>
  <si>
    <t>Velkomoravská 2209/69, Hodonín</t>
  </si>
  <si>
    <t>https://goo.gl/jWCjvh</t>
  </si>
  <si>
    <t>https://flic.kr/s/aHsm7ZV951</t>
  </si>
  <si>
    <t>N 48°51.03373'. E 17°7.04932'</t>
  </si>
  <si>
    <t>U Jirsáka</t>
  </si>
  <si>
    <t>Minipivovar U Jirsáka</t>
  </si>
  <si>
    <t>Vikýřovice</t>
  </si>
  <si>
    <t>Šumperská 128, Vikýřovice</t>
  </si>
  <si>
    <t>https://goo.gl/JQ5PgB</t>
  </si>
  <si>
    <t>Jirsák</t>
  </si>
  <si>
    <t>https://flic.kr/s/aHskuFTfMM</t>
  </si>
  <si>
    <t>N 49°58.04670'. E 17°0.11115'</t>
  </si>
  <si>
    <t>Dašice</t>
  </si>
  <si>
    <t>Pivovar Dašice</t>
  </si>
  <si>
    <t>Komenského 27, Dašice</t>
  </si>
  <si>
    <t>https://goo.gl/oT31BL</t>
  </si>
  <si>
    <t>Tradiční</t>
  </si>
  <si>
    <t>Dašické sklepy</t>
  </si>
  <si>
    <t>https://flic.kr/s/aHsmgDrpRR</t>
  </si>
  <si>
    <t>N 50°1.72733'. E 15°54.91460'</t>
  </si>
  <si>
    <t>Poděbradský</t>
  </si>
  <si>
    <t>Poděbradský pivovar</t>
  </si>
  <si>
    <t>Husova 24/11, Poděbrady - Poděbrady I</t>
  </si>
  <si>
    <t>https://goo.gl/cQ3pRX</t>
  </si>
  <si>
    <t>Poděbradský zdroj</t>
  </si>
  <si>
    <t>Restaurace v Pivovaře</t>
  </si>
  <si>
    <t>https://flic.kr/s/aHsm82gT8E</t>
  </si>
  <si>
    <t>N 50°8.56660'. E 15°6.96590'</t>
  </si>
  <si>
    <t>Pivovar Kamenice nad Lipou</t>
  </si>
  <si>
    <t>nám. Čsl. armády 2, Kamenice nad Lipou</t>
  </si>
  <si>
    <t>https://goo.gl/Y962ak</t>
  </si>
  <si>
    <t>Pivovar Kamenice s.r.o.</t>
  </si>
  <si>
    <t>Kamenická</t>
  </si>
  <si>
    <t>N 49°18.11053'. E 15°4.70395'</t>
  </si>
  <si>
    <t>Knajzl</t>
  </si>
  <si>
    <t>Rodinný pivovar Knajzl</t>
  </si>
  <si>
    <t>Brňany</t>
  </si>
  <si>
    <t>Brňany 155, Brňany</t>
  </si>
  <si>
    <t>http://pivovarknajzl.cz</t>
  </si>
  <si>
    <t>https://goo.gl/BxXvBJ</t>
  </si>
  <si>
    <t>Rodinný pivovar KNAJZL, s.r.o.</t>
  </si>
  <si>
    <t>Brňanský</t>
  </si>
  <si>
    <t>N 50°28.73998'. E 14°8.73265'</t>
  </si>
  <si>
    <t>JBM Brew Lab</t>
  </si>
  <si>
    <t>Ptašínského 315/12, Brno-Královo Pole - Ponava</t>
  </si>
  <si>
    <t>https://goo.gl/7CPGbN</t>
  </si>
  <si>
    <t>First Dance, First Date, First Night, Guava Dinosour, MimiAle, Zombie Geisha</t>
  </si>
  <si>
    <t>N 49°12.71218'. E 16°36.02002'</t>
  </si>
  <si>
    <t>Bukovar</t>
  </si>
  <si>
    <t>Rodinný pivovar Bukovar</t>
  </si>
  <si>
    <t>Dolní Bukovsko</t>
  </si>
  <si>
    <t>nám. Jiráskovo 54, Dolní Bukovsko</t>
  </si>
  <si>
    <t>https://goo.gl/QAwLS8</t>
  </si>
  <si>
    <t>Hungry bear, Hunky monkey, Proud lion, Space coyote</t>
  </si>
  <si>
    <t>N 49°10.32772'. E 14°34.85905'</t>
  </si>
  <si>
    <t>Horní Chrášťany</t>
  </si>
  <si>
    <t>Pivovar Horní Chrášťany</t>
  </si>
  <si>
    <t>Horní Chrášťany 43, Lhenice - Horní Chrášťany</t>
  </si>
  <si>
    <t>https://goo.gl/Hxd9bd</t>
  </si>
  <si>
    <t>Vysoká Běta</t>
  </si>
  <si>
    <t>N 49°0.05135'. E 14°11.87758'</t>
  </si>
  <si>
    <t>U Sudu</t>
  </si>
  <si>
    <t>Hospodský pivovar U Sudu</t>
  </si>
  <si>
    <t>Fibichova 954/21, Jihlava</t>
  </si>
  <si>
    <t>https://goo.gl/YCJZpM</t>
  </si>
  <si>
    <t>Zdarsa, s.r.o.</t>
  </si>
  <si>
    <t>Zajda</t>
  </si>
  <si>
    <t>N 49°23.62485'. E 15°35.19975'</t>
  </si>
  <si>
    <t>Dědkův mlýn</t>
  </si>
  <si>
    <t>Minipivovar Dědkův mlýn</t>
  </si>
  <si>
    <t>Unhošť - Dědkův mlýn</t>
  </si>
  <si>
    <t>Unhošť ev.č. 488, Unhošť</t>
  </si>
  <si>
    <t>https://goo.gl/qPKiSF</t>
  </si>
  <si>
    <t>Pitmaster</t>
  </si>
  <si>
    <t>N 50°3.11565'. E 14°5.95125'</t>
  </si>
  <si>
    <t>Volt</t>
  </si>
  <si>
    <t>Pivovar Volt</t>
  </si>
  <si>
    <t>Palackého 2302/28, Jablonec nad Nisou</t>
  </si>
  <si>
    <t>Malá Úpa</t>
  </si>
  <si>
    <t>http://pivovarvolt.cz</t>
  </si>
  <si>
    <t>https://goo.gl/MJ9x6c</t>
  </si>
  <si>
    <t>Akumulátor, Elektron, Jiskra, Pojistka, Startér, Zesilovač</t>
  </si>
  <si>
    <t>N 50°43.90998'. E 15°10.19425'</t>
  </si>
  <si>
    <t>Heřmanický</t>
  </si>
  <si>
    <t>Heřmanický pivovar</t>
  </si>
  <si>
    <t>Ostrava - Heřmanice</t>
  </si>
  <si>
    <t>Vrbická 614/131, Ostrava - Slezská Ostrava-Heřmanice</t>
  </si>
  <si>
    <t>https://www.facebook.com/HermanickyPivovar</t>
  </si>
  <si>
    <t>https://goo.gl/fHTbJe</t>
  </si>
  <si>
    <t>Beseda</t>
  </si>
  <si>
    <t>https://flic.kr/s/aHskwArBpW</t>
  </si>
  <si>
    <t>N 49°51.55725'. E 18°19.80365'</t>
  </si>
  <si>
    <t>Kalikovar</t>
  </si>
  <si>
    <t>Pivovar Kalikovar</t>
  </si>
  <si>
    <t>Radčická 60/40, Plzeň 3 - Jižní Předměstí</t>
  </si>
  <si>
    <t>https://goo.gl/2E6Mys</t>
  </si>
  <si>
    <t>Kalik</t>
  </si>
  <si>
    <t>N 49°45.02417'. E 13°21.93977'</t>
  </si>
  <si>
    <t>Historický pivovar Český Krumlov</t>
  </si>
  <si>
    <t>https://flic.kr/s/aHsmdqZ5Yo</t>
  </si>
  <si>
    <t>https://goo.gl/P9G7y7</t>
  </si>
  <si>
    <t>N 48°48.79830'. E 14°19.16782'</t>
  </si>
  <si>
    <t>Skřivánek</t>
  </si>
  <si>
    <t>Minipivovar Skřivánek</t>
  </si>
  <si>
    <t>Lukov</t>
  </si>
  <si>
    <t>K Tuskulu 338, Lukov</t>
  </si>
  <si>
    <t>http://minipivovar-skrivanek.cz</t>
  </si>
  <si>
    <t>https://goo.gl/CSqNLR</t>
  </si>
  <si>
    <t>Minipivovar Skřivánek s.r.o.</t>
  </si>
  <si>
    <t>Bezedník, Brůno, JaFerda, Karel IV., Kurýr, Nadýmák, Negr, Sailern, Šebestián, Šmurýn, Štěpán, Vítek</t>
  </si>
  <si>
    <t>N 49°17.45643'. E 17°44.41852'</t>
  </si>
  <si>
    <t>Dejf</t>
  </si>
  <si>
    <t>Řemeslný pivovar Dejf</t>
  </si>
  <si>
    <t>Studénka</t>
  </si>
  <si>
    <t>2. května 390, Studénka</t>
  </si>
  <si>
    <t>https://www.facebook.com/harleypub</t>
  </si>
  <si>
    <t>https://goo.gl/Ptf3ie</t>
  </si>
  <si>
    <t>David Hanzelka</t>
  </si>
  <si>
    <t>Atomico, Mechanico, Whale</t>
  </si>
  <si>
    <t>https://flic.kr/s/aHsmfNr5Xn</t>
  </si>
  <si>
    <t>N 49°43.33913'. E 18°4.71993'</t>
  </si>
  <si>
    <t>Trojan</t>
  </si>
  <si>
    <t>Měšťanský Pivovar Trojan</t>
  </si>
  <si>
    <t>Telč</t>
  </si>
  <si>
    <t>Myslibořská 299, Telč - Telč-Štěpnice</t>
  </si>
  <si>
    <t>http://www.pivovar-trojan.cz</t>
  </si>
  <si>
    <t>https://goo.gl/n1QWXy</t>
  </si>
  <si>
    <t>Měšťanský, Oskar, Telčský</t>
  </si>
  <si>
    <t>N 49°11.17057'. E 15°27.92780'</t>
  </si>
  <si>
    <t>JungBerg</t>
  </si>
  <si>
    <t>Rodinný pivovar JungBerg</t>
  </si>
  <si>
    <t>Riegrova 619, Hořice</t>
  </si>
  <si>
    <t>https://goo.gl/eRtgHg</t>
  </si>
  <si>
    <t>JungBerg s.r.o.</t>
  </si>
  <si>
    <t>Hořický, LucIPA, PetrAle, PP</t>
  </si>
  <si>
    <t>N 50°22.17993'. E 15°38.30242'</t>
  </si>
  <si>
    <t>Špitt</t>
  </si>
  <si>
    <t>Pivovar Špitt</t>
  </si>
  <si>
    <t>Zahořany</t>
  </si>
  <si>
    <t>Zahořany 90, Křešice - Zahořany</t>
  </si>
  <si>
    <t>https://goo.gl/LQLAF2</t>
  </si>
  <si>
    <t>N 50°31.87633'. E 14°13.04855'</t>
  </si>
  <si>
    <t>https://www.facebook.com/Biskupský-pivovar-U-sv-Štěpána-473126989800209</t>
  </si>
  <si>
    <t>JELPL</t>
  </si>
  <si>
    <t>Minipivovar JELPL Kobeřice</t>
  </si>
  <si>
    <t>Kobeřice</t>
  </si>
  <si>
    <t>Kobeřice 60, Hradčany-Kobeřice - Kobeřice</t>
  </si>
  <si>
    <t>https://goo.gl/zJqhe9</t>
  </si>
  <si>
    <t>N 49°22.17775'. E 17°6.75077'</t>
  </si>
  <si>
    <t>Mlýn</t>
  </si>
  <si>
    <t>Pivovar Mlýn</t>
  </si>
  <si>
    <t>Střížovice</t>
  </si>
  <si>
    <t>Střížovice 41, Snědovice - Střížovice</t>
  </si>
  <si>
    <t>https://www.facebook.com/pivovarmlyn</t>
  </si>
  <si>
    <t>https://goo.gl/1ZRR4G</t>
  </si>
  <si>
    <t>N 50°31.17320'. E 14°23.06065'</t>
  </si>
  <si>
    <t>Hnanice</t>
  </si>
  <si>
    <t>Pivovar Hnanice</t>
  </si>
  <si>
    <t>nám. sv. Wolfganga 97, Hnanice</t>
  </si>
  <si>
    <t>https://goo.gl/kcHgTU</t>
  </si>
  <si>
    <t>N 48°47.83223'. E 15°59.22653'</t>
  </si>
  <si>
    <t>Kořenov</t>
  </si>
  <si>
    <t>Velkorakovský</t>
  </si>
  <si>
    <t>Velkorakovský minipivovar</t>
  </si>
  <si>
    <t>Za Sokolskou 1c, Prostějov</t>
  </si>
  <si>
    <t>https://goo.gl/isQTCA</t>
  </si>
  <si>
    <t>V budoucnu se chtějí přestěhovat do Rakové u Konic</t>
  </si>
  <si>
    <t>Rupert, Velkorakovská</t>
  </si>
  <si>
    <t>N 49°28.15127'. E 17°7.83053'</t>
  </si>
  <si>
    <t>U Přeška</t>
  </si>
  <si>
    <t>Pivovar U Přeška</t>
  </si>
  <si>
    <t>Masarykovo nám. 311, Přeštice</t>
  </si>
  <si>
    <t>https://goo.gl/2zbD72</t>
  </si>
  <si>
    <t>PCP Brewery s.r.o.</t>
  </si>
  <si>
    <t>Kilián, Marlena, Maurus, Schönborn</t>
  </si>
  <si>
    <t>N 49°34.36448'. E 13°19.83663'</t>
  </si>
  <si>
    <t>Krásenský</t>
  </si>
  <si>
    <t>Krásenský pivovar</t>
  </si>
  <si>
    <t>Na Tržnici 78/1, Valašské Meziříčí - Krásno nad Bečvou</t>
  </si>
  <si>
    <t>Železný Brod</t>
  </si>
  <si>
    <t>https://www.facebook.com/krasenskypivovar</t>
  </si>
  <si>
    <t>https://goo.gl/19rcTJ</t>
  </si>
  <si>
    <t>Krásenská, Krásenské</t>
  </si>
  <si>
    <t>https://flic.kr/s/aHskws9usG</t>
  </si>
  <si>
    <t>N 49°28.42702'. E 17°58.31903'</t>
  </si>
  <si>
    <t>První Soběšický</t>
  </si>
  <si>
    <t>První Soběšický pivovar</t>
  </si>
  <si>
    <t>Brno - Soběšice</t>
  </si>
  <si>
    <t>Zeiberlichova 60/52, Brno-sever - Soběšice</t>
  </si>
  <si>
    <t>https://goo.gl/JPVqAX</t>
  </si>
  <si>
    <t>Soběšická</t>
  </si>
  <si>
    <t>N 49°15.28948'. E 16°37.37642'</t>
  </si>
  <si>
    <t>Krum</t>
  </si>
  <si>
    <t>Pivovar Krum</t>
  </si>
  <si>
    <t>Moravský Krumlov</t>
  </si>
  <si>
    <t>Znojemská 393, Moravský Krumlov</t>
  </si>
  <si>
    <t>https://goo.gl/Mijpde</t>
  </si>
  <si>
    <t>Hotel Rokiten</t>
  </si>
  <si>
    <t>https://flic.kr/s/aHskwAuyt9</t>
  </si>
  <si>
    <t>N 49°2.34145'. E 16°18.74477'</t>
  </si>
  <si>
    <t>Hradecký Klenot</t>
  </si>
  <si>
    <t>Měšťanský pivovar Hradecký Klenot</t>
  </si>
  <si>
    <t>Velké náměstí 26/36, Hradec Králové</t>
  </si>
  <si>
    <t>https://goo.gl/eA4tXc</t>
  </si>
  <si>
    <t>https://flic.kr/s/aHsmgCSYUv</t>
  </si>
  <si>
    <t>N 50°12.56677'. E 15°50.08750'</t>
  </si>
  <si>
    <t>Sokolnice</t>
  </si>
  <si>
    <t>Panský pivovar Sokolnice</t>
  </si>
  <si>
    <t>Zámecká 151, Sokolnice</t>
  </si>
  <si>
    <t>https://goo.gl/aoadSq</t>
  </si>
  <si>
    <t>Antonie, Leopold, Sadovský, Sokolnická</t>
  </si>
  <si>
    <t>https://flic.kr/s/aHsmfyepEF</t>
  </si>
  <si>
    <t>N 49°7.13297', E 16°43.64477'</t>
  </si>
  <si>
    <t>Moravia</t>
  </si>
  <si>
    <t>Pivovar Moravia</t>
  </si>
  <si>
    <t>Brno - Medlánky</t>
  </si>
  <si>
    <t>Kytnerova 403/5, Brno - Medlánky</t>
  </si>
  <si>
    <t>https://goo.gl/cdyTNY</t>
  </si>
  <si>
    <t>Jošt, Petrov</t>
  </si>
  <si>
    <t>Plzeň-sever</t>
  </si>
  <si>
    <t>N 49°14.55020', E 16°34.46948'</t>
  </si>
  <si>
    <t>Kralovice</t>
  </si>
  <si>
    <t>Hanácký</t>
  </si>
  <si>
    <t>Hanácký pivovar</t>
  </si>
  <si>
    <t>Olomouc - Holice</t>
  </si>
  <si>
    <t>Šlechtitelů 139/14, Olomouc - Holice</t>
  </si>
  <si>
    <t>https://goo.gl/UU78uR</t>
  </si>
  <si>
    <t>Chmelař, Sladař, Vladař</t>
  </si>
  <si>
    <t>N 49°34.45882', E 17°16.67965'</t>
  </si>
  <si>
    <t>Kotouč</t>
  </si>
  <si>
    <t>Pivovar Kotouč</t>
  </si>
  <si>
    <t>https://goo.gl/4JkUw3</t>
  </si>
  <si>
    <t>Původní název "Pivovar Česká Kamenice"</t>
  </si>
  <si>
    <t>Filištín</t>
  </si>
  <si>
    <t>Chrudimský pivovar Filištín</t>
  </si>
  <si>
    <t>Filištínská 34, Chrudim - Chrudim I</t>
  </si>
  <si>
    <t>https://goo.gl/Bep6fT</t>
  </si>
  <si>
    <t>N 49°57.15270', E 15°47.60290'</t>
  </si>
  <si>
    <t>Genius noci</t>
  </si>
  <si>
    <t>Pivovar Genius noci</t>
  </si>
  <si>
    <t>Lomnice</t>
  </si>
  <si>
    <t>nám. Palackého 330, Lomnice</t>
  </si>
  <si>
    <t>2015 / 2017</t>
  </si>
  <si>
    <t>https://goo.gl/sqPdpr</t>
  </si>
  <si>
    <t>Genius noci, s.r.o.</t>
  </si>
  <si>
    <t>N 49°24.28613', E 16°24.84372'</t>
  </si>
  <si>
    <t>Čepice</t>
  </si>
  <si>
    <t>Minipivovar Čepice</t>
  </si>
  <si>
    <t>Čepice 4, Rabí - Čepice</t>
  </si>
  <si>
    <t>https://goo.gl/DsbA2z</t>
  </si>
  <si>
    <t>Čepický minipivovar s.r.o.</t>
  </si>
  <si>
    <t>Šafář</t>
  </si>
  <si>
    <t>N 49°16.00930', E 13°35.74342'</t>
  </si>
  <si>
    <t>Pivovar Vyškov</t>
  </si>
  <si>
    <t>Nové Město na Moravě</t>
  </si>
  <si>
    <t>náměstí Čsl. armády 116/4, Vyškov - Vyškov-Město</t>
  </si>
  <si>
    <t>http://www.pivovyskov.cz</t>
  </si>
  <si>
    <t>https://www.facebook.com/vyskovskepivo</t>
  </si>
  <si>
    <t>https://goo.gl/iY6zSc</t>
  </si>
  <si>
    <t>ČR - Czech Beverage Industry Company, a.s.</t>
  </si>
  <si>
    <t>Atlet, Březňák, Cechmistrovský Grunt, Cross the World, Dubmistr, Džbán, Generál, Jubiler, Řezák, Tmavý Džbán, Vyškovské</t>
  </si>
  <si>
    <t>https://flic.kr/s/aHskugot4n</t>
  </si>
  <si>
    <t>N 49°16.55573'. E 16°59.94563'</t>
  </si>
  <si>
    <t>Písecký</t>
  </si>
  <si>
    <t>Písecký hradební pivovar</t>
  </si>
  <si>
    <t>V Koutě 90, Písek - Vnitřní Město</t>
  </si>
  <si>
    <t>https://goo.gl/nV8gBS</t>
  </si>
  <si>
    <t>N 49°18.53152', E 14°9.01782'</t>
  </si>
  <si>
    <t>Zenke</t>
  </si>
  <si>
    <t>Pivovar Zenke</t>
  </si>
  <si>
    <t>Ženklava</t>
  </si>
  <si>
    <t>Ženklava 210, Ženklava</t>
  </si>
  <si>
    <t>https://goo.gl/W9Qn1W</t>
  </si>
  <si>
    <t>https://flic.kr/s/aHskwAspVw</t>
  </si>
  <si>
    <t>N 49°33.59133', E 18°6.32022'</t>
  </si>
  <si>
    <t>Chmelnice</t>
  </si>
  <si>
    <t>Pivovar Chmelnice</t>
  </si>
  <si>
    <t>Napajedla</t>
  </si>
  <si>
    <t>Palackého 115, Napajedla</t>
  </si>
  <si>
    <t>http://www.pivovarchmelnice.cz</t>
  </si>
  <si>
    <t>https://goo.gl/QNcLxv</t>
  </si>
  <si>
    <t>Chmelničák</t>
  </si>
  <si>
    <t>https://flic.kr/s/aHsmc7yutA</t>
  </si>
  <si>
    <t>N 49°10.62428', E 17°31.01743'</t>
  </si>
  <si>
    <t>Pecký</t>
  </si>
  <si>
    <t>Pecký pivovar</t>
  </si>
  <si>
    <t>Pec pod Sněžkou 124, Pec pod Sněžkou</t>
  </si>
  <si>
    <t>https://goo.gl/LJp3mK</t>
  </si>
  <si>
    <t>N 50°42.48400', E 15°43.95328'</t>
  </si>
  <si>
    <t>Ettore</t>
  </si>
  <si>
    <t>Pivovar Ettore</t>
  </si>
  <si>
    <t>Jíloviště</t>
  </si>
  <si>
    <t>Všenorská 45, Jíloviště</t>
  </si>
  <si>
    <t>https://goo.gl/9jfM2Z</t>
  </si>
  <si>
    <t>Black Bess, Eliška, Ettore, Royale</t>
  </si>
  <si>
    <t>N 49°55.48883', E 14°20.12190'</t>
  </si>
  <si>
    <t>Z-Stage</t>
  </si>
  <si>
    <t>Řemeslný minipivovar Z-Stage</t>
  </si>
  <si>
    <t>Velká Bystřice</t>
  </si>
  <si>
    <t>ČSA 556, Velká Bystřice</t>
  </si>
  <si>
    <t>http://www.z-stage.cz</t>
  </si>
  <si>
    <t>https://goo.gl/fFNKks</t>
  </si>
  <si>
    <t>N 49°35.27632', E 17°20.80100'</t>
  </si>
  <si>
    <t>Neratov</t>
  </si>
  <si>
    <t>Poutní pivovar Neratov</t>
  </si>
  <si>
    <t>Bartošovice v Orlických horách - Neratov</t>
  </si>
  <si>
    <t>Bartošovice v Orlických horách 118, Bartošovice v Orlických horách - Neratov</t>
  </si>
  <si>
    <t>https://goo.gl/aywViT</t>
  </si>
  <si>
    <t>Prorok</t>
  </si>
  <si>
    <t>N 50°12.89140', E 16°33.17627'</t>
  </si>
  <si>
    <t>Hroch</t>
  </si>
  <si>
    <t>Domácí minipivovar Hroch</t>
  </si>
  <si>
    <t>17. listopadu 590/14, Liberec XV - Starý Harcov</t>
  </si>
  <si>
    <t>https://www.facebook.com/Hrochpub</t>
  </si>
  <si>
    <t>https://goo.gl/rVfy7b</t>
  </si>
  <si>
    <t>N 50°46.20687', E 15°5.38113'</t>
  </si>
  <si>
    <t>Trilobit</t>
  </si>
  <si>
    <t>Pivovar Trilobit</t>
  </si>
  <si>
    <t>U Libeňského pivovaru 1499/4, Praha 8</t>
  </si>
  <si>
    <t>https://goo.gl/abeqhz</t>
  </si>
  <si>
    <t>N 50°6.45250', E 14°28.56367'</t>
  </si>
  <si>
    <t>Kail</t>
  </si>
  <si>
    <t>Pivovar Kail</t>
  </si>
  <si>
    <t>Praha-Zbraslav - Lahovice</t>
  </si>
  <si>
    <t>Strakonická 100, Praha-Zbraslav - Lahovice</t>
  </si>
  <si>
    <t>https://goo.gl/xj2Xhs</t>
  </si>
  <si>
    <t>Kontejnerový pivovar od Smart Brewery</t>
  </si>
  <si>
    <t>Oktor, Osma</t>
  </si>
  <si>
    <t>N 50°0.11735', E 14°23.68465'</t>
  </si>
  <si>
    <t>Baštecký</t>
  </si>
  <si>
    <t>Baštecký pivovar</t>
  </si>
  <si>
    <t>Starý Kolín</t>
  </si>
  <si>
    <t>Za Poštou 95, Starý Kolín</t>
  </si>
  <si>
    <t>https://flic.kr/s/aHsktkBPBe</t>
  </si>
  <si>
    <t>N 50°0.62978', E 15°17.52642'</t>
  </si>
  <si>
    <t>Prdek</t>
  </si>
  <si>
    <t>Minipivovar Na Perlíčku - Prdek</t>
  </si>
  <si>
    <t>Paseky nad Jizerou</t>
  </si>
  <si>
    <t>Paseky nad Jizerou 222, Paseky nad Jizerou</t>
  </si>
  <si>
    <t>http://www.prdek.cz</t>
  </si>
  <si>
    <t>https://www.facebook.com/ChataPrdek</t>
  </si>
  <si>
    <t>https://goo.gl/Fhd5os</t>
  </si>
  <si>
    <t>https://goo.gl/Du1rRG</t>
  </si>
  <si>
    <t>Prdecký Perlík</t>
  </si>
  <si>
    <t>https://flic.kr/s/aHskybCcZq</t>
  </si>
  <si>
    <t>N 50°43.51265', E 15°22.65727'</t>
  </si>
  <si>
    <t>Tor</t>
  </si>
  <si>
    <t>Pivovar Tor</t>
  </si>
  <si>
    <t>Šatov</t>
  </si>
  <si>
    <t>Šatov 387, Šatov</t>
  </si>
  <si>
    <t>https://www.facebook.com/torpivovar</t>
  </si>
  <si>
    <t>https://goo.gl/XYqFkh</t>
  </si>
  <si>
    <t>N 48°47.70485', E 16°0.49323'</t>
  </si>
  <si>
    <t>Říčanský</t>
  </si>
  <si>
    <t>Říčanský pivovar</t>
  </si>
  <si>
    <t>Olivova 246/23, Říčany</t>
  </si>
  <si>
    <t>https://goo.gl/ZJVrKs</t>
  </si>
  <si>
    <t>Mikeš, Kaprál, Dorota</t>
  </si>
  <si>
    <t>https://flic.kr/s/aHsmb6gryC</t>
  </si>
  <si>
    <t>N 49°59.50683', E 14°39.63003'</t>
  </si>
  <si>
    <t>Topolský</t>
  </si>
  <si>
    <t>Topolský pivovar</t>
  </si>
  <si>
    <t>Topolná</t>
  </si>
  <si>
    <t>Topolná 224, Topolná</t>
  </si>
  <si>
    <t>http://www.topolskahospoda.cz</t>
  </si>
  <si>
    <t>https://goo.gl/iHWvXN</t>
  </si>
  <si>
    <t>N 49°7.38298', E 17°32.38823'</t>
  </si>
  <si>
    <t>Keras</t>
  </si>
  <si>
    <t>Pivovar Keras Bechyně</t>
  </si>
  <si>
    <t>Bechyně</t>
  </si>
  <si>
    <t>Písecká 376, Bechyně</t>
  </si>
  <si>
    <t>https://www.facebook.com/varic2015</t>
  </si>
  <si>
    <t>https://pivovar-keras-bechyne.webnode.cz</t>
  </si>
  <si>
    <t>https://www.facebook.com/PivovarBechyneKeras</t>
  </si>
  <si>
    <t>https://goo.gl/8zaUT6</t>
  </si>
  <si>
    <t>N 49°17.98562', E 14°27.81787'</t>
  </si>
  <si>
    <t>Nomád</t>
  </si>
  <si>
    <t>Pivovar Nomád</t>
  </si>
  <si>
    <t>U Plovárny 1264/10c, Děčín I - Děčín</t>
  </si>
  <si>
    <t>http://www.pivo-pivo.cz/nomad</t>
  </si>
  <si>
    <t>Valašské Klobouky</t>
  </si>
  <si>
    <t>https://goo.gl/26fmV4</t>
  </si>
  <si>
    <t>https://flic.kr/s/aHsm75xQNh</t>
  </si>
  <si>
    <t>N 50°46.68917', E 14°12.71275'</t>
  </si>
  <si>
    <t>Aero</t>
  </si>
  <si>
    <t>Pivovar Aero</t>
  </si>
  <si>
    <t>Ostrava - Hrabůvka</t>
  </si>
  <si>
    <t>Edisonova 795/88, Ostrava-Jih - Hrabůvka</t>
  </si>
  <si>
    <t>http://www.elmontex.cz</t>
  </si>
  <si>
    <t>https://www.facebook.com/RestauraceAero</t>
  </si>
  <si>
    <t>https://goo.gl/pD9uy2</t>
  </si>
  <si>
    <t>Pilot</t>
  </si>
  <si>
    <t>https://flic.kr/s/aHsmcFej3s</t>
  </si>
  <si>
    <t>N 49°47.64952', E 18°15.18228'</t>
  </si>
  <si>
    <t>Warehouse</t>
  </si>
  <si>
    <t>Pivovar Warehouse</t>
  </si>
  <si>
    <t>Liberec - Jeřáb</t>
  </si>
  <si>
    <t>Hanychovská 328/10, Liberec III - Jeřáb</t>
  </si>
  <si>
    <t>http://www.kousekpiva.cz</t>
  </si>
  <si>
    <t>https://www.facebook.com/beerwarehousecz</t>
  </si>
  <si>
    <t>https://goo.gl/rmJdZy</t>
  </si>
  <si>
    <t>Kousek Piva</t>
  </si>
  <si>
    <t>N 50°45.51820', E 15°2.63418'</t>
  </si>
  <si>
    <t>Čtyři lípy</t>
  </si>
  <si>
    <t>Pivovar Čtyři lípy</t>
  </si>
  <si>
    <t>Libáň</t>
  </si>
  <si>
    <t>Boženy Němcové, Libáň</t>
  </si>
  <si>
    <t>https://www.pivovar-liban.cz</t>
  </si>
  <si>
    <t>https://goo.gl/i8LWMg</t>
  </si>
  <si>
    <t>Dukát, Zlaťák</t>
  </si>
  <si>
    <t>https://flic.kr/s/aHsmiJgiZ4</t>
  </si>
  <si>
    <t>N 50°22.56450', E 15°13.22792'</t>
  </si>
  <si>
    <t>Řeporyjský</t>
  </si>
  <si>
    <t>Pivovar Řeporyje</t>
  </si>
  <si>
    <t>Praha - Řeporyje</t>
  </si>
  <si>
    <t>K tržišti 14/4, Praha-Řeporyje - Řeporyje</t>
  </si>
  <si>
    <t>http://www.pivovarreporyje.cz</t>
  </si>
  <si>
    <t>https://www.facebook.com/pivovarreporyje</t>
  </si>
  <si>
    <t>https://goo.gl/i1bzzv</t>
  </si>
  <si>
    <t>Prefunda, Řeporyjský, Vilda</t>
  </si>
  <si>
    <t>N 50°1.99715', E 14°18.75187'</t>
  </si>
  <si>
    <t>Cobolis</t>
  </si>
  <si>
    <t>Pivovar Ládví Cobolis</t>
  </si>
  <si>
    <t>Praha - Kobylisy</t>
  </si>
  <si>
    <t>Burešova 1661/2, Praha 8 - Kobylisy</t>
  </si>
  <si>
    <t>http://www.cobolis.cz</t>
  </si>
  <si>
    <t>https://www.facebook.com/pivovarcobolis</t>
  </si>
  <si>
    <t>https://goo.gl/8BjVVD</t>
  </si>
  <si>
    <t>N 50°7.62732', E 14°28.22237'</t>
  </si>
  <si>
    <t>https://www.facebook.com/krikloun</t>
  </si>
  <si>
    <t>Druhý pivovar pivovaru Křikloun na místě bývalého pivovaru Hodonínský vojáček.</t>
  </si>
  <si>
    <t>N 48°50.59638', E 17°7.50802'</t>
  </si>
  <si>
    <t>Ladronka</t>
  </si>
  <si>
    <t>Pivovar Ladronka</t>
  </si>
  <si>
    <t>Tomanova 1028/1, Praha 6 - Břevnov</t>
  </si>
  <si>
    <t>http://www.ladronka.com</t>
  </si>
  <si>
    <t>https://www.facebook.com/officialusedlostladronka</t>
  </si>
  <si>
    <t>https://goo.gl/ajPjY8</t>
  </si>
  <si>
    <t>Heyl</t>
  </si>
  <si>
    <t>N 50°4.72267', E 14°21.40278'</t>
  </si>
  <si>
    <t>Roudenský</t>
  </si>
  <si>
    <t>1. Roudenský pivovar</t>
  </si>
  <si>
    <t>Na Roudné 387/17, Plzeň 1 - Severní Předměstí</t>
  </si>
  <si>
    <t>http://saloonroudna.cz</t>
  </si>
  <si>
    <t>https://www.facebook.com/saloonroudna</t>
  </si>
  <si>
    <t>https://goo.gl/P1fGQC</t>
  </si>
  <si>
    <t>Maršoun, Roudenská</t>
  </si>
  <si>
    <t>N 49°45.19250', E 13°22.78710'</t>
  </si>
  <si>
    <t>Spojovna</t>
  </si>
  <si>
    <t>Pivovar Spojovna</t>
  </si>
  <si>
    <t>U Kunratického Lesa 1801, Praha-Kunratice - Kunratice</t>
  </si>
  <si>
    <t>http://pivovarspojovna.cz</t>
  </si>
  <si>
    <t>https://www.facebook.com/pivovarspojovna</t>
  </si>
  <si>
    <t>https://goo.gl/EdWwfz</t>
  </si>
  <si>
    <t>Kunratický Študák, Chodovský Kravaťák, Šeberovský Fešák</t>
  </si>
  <si>
    <t>N 50°1.19967', E 14°29.95922'</t>
  </si>
  <si>
    <t>Feldsberg</t>
  </si>
  <si>
    <t>Pivovar Feldsberg</t>
  </si>
  <si>
    <t>Valtice</t>
  </si>
  <si>
    <t>Zámecká 1222, Valtice</t>
  </si>
  <si>
    <t>https://goo.gl/M5N54r</t>
  </si>
  <si>
    <t>Valtická, Zámecká</t>
  </si>
  <si>
    <t>N 48°44.51437', E 16°45.51107'</t>
  </si>
  <si>
    <t>Kronl</t>
  </si>
  <si>
    <t>Rodinný pivovar Kronl</t>
  </si>
  <si>
    <t>Mariánské Lázně</t>
  </si>
  <si>
    <t>Kollárova 94/26, Mariánské Lázně - Úšovice</t>
  </si>
  <si>
    <t>https://kronl.cz</t>
  </si>
  <si>
    <t>https://goo.gl/ZuPwb5</t>
  </si>
  <si>
    <t>N 49°57.48127', E 12°42.12572'</t>
  </si>
  <si>
    <t>Kujebák</t>
  </si>
  <si>
    <t>Měšťanský pivovar Kujebák</t>
  </si>
  <si>
    <t>Husova 216, Vysoké Mýto</t>
  </si>
  <si>
    <t>https://www.pivovarkujebak.cz</t>
  </si>
  <si>
    <t>https://goo.gl/ExeA6H</t>
  </si>
  <si>
    <t>Kujebák, Malvaz, Vysokomýtské</t>
  </si>
  <si>
    <t>N 49°57.14283', E 16°9.37842'</t>
  </si>
  <si>
    <t>Koňovárek</t>
  </si>
  <si>
    <t>Minipivovárek Koňovárek</t>
  </si>
  <si>
    <t>Vojkovice 49, Vojkovice</t>
  </si>
  <si>
    <t>http://www.konickuv-dvur.cz</t>
  </si>
  <si>
    <t>https://www.facebook.com/konickuvdvur</t>
  </si>
  <si>
    <t>https://goo.gl/7hm2Kh</t>
  </si>
  <si>
    <t>V areálu Koníčkova dvora. Vaření speciálů Koníčka a piv pro veřejnost na původní varně pivovaru.</t>
  </si>
  <si>
    <t>N 49°40.79888', E 18°27.86365'</t>
  </si>
  <si>
    <t>Plzeňský bandita</t>
  </si>
  <si>
    <t>Pivovar Plzeňský bandita</t>
  </si>
  <si>
    <t>Plzeň - Koterov</t>
  </si>
  <si>
    <t>Nová 530/5, Plzeň 2-Slovany - Koterov</t>
  </si>
  <si>
    <t>https://www.facebook.com/pivovarbandita</t>
  </si>
  <si>
    <t>https://goo.gl/3QBVwm</t>
  </si>
  <si>
    <t>N 49°42.88345', E 13°24.91705'</t>
  </si>
  <si>
    <t>Srbecký lok</t>
  </si>
  <si>
    <t>Minipivovar Srbecký lok</t>
  </si>
  <si>
    <t>Srbsko</t>
  </si>
  <si>
    <t>Na Břiči, Srbsko</t>
  </si>
  <si>
    <t>https://www.campsrbsko.cz</t>
  </si>
  <si>
    <t>https://www.facebook.com/CAMP-Srbsko-597253130421411</t>
  </si>
  <si>
    <t>https://goo.gl/2kHNWr</t>
  </si>
  <si>
    <t>Petrův ležák</t>
  </si>
  <si>
    <t>Dačice</t>
  </si>
  <si>
    <t>N 49°56.35830', E 14°7.97073'</t>
  </si>
  <si>
    <t>Nová Bystřice</t>
  </si>
  <si>
    <t>Pivovar Nová Bystřice</t>
  </si>
  <si>
    <t>Vídeňská 136, Nová Bystřice</t>
  </si>
  <si>
    <t>http://www.pivovarnovabystrice.cz</t>
  </si>
  <si>
    <t>https://www.facebook.com/pivovarnovabystrice</t>
  </si>
  <si>
    <t>https://goo.gl/d8YW4w</t>
  </si>
  <si>
    <t>Bystřický, Hošek, Vainar, Vaska</t>
  </si>
  <si>
    <t>N 49°1.12033', E 15°6.34867'</t>
  </si>
  <si>
    <t>Nové Hrady</t>
  </si>
  <si>
    <t>Minipivovar Nové Hrady</t>
  </si>
  <si>
    <t>Nové Hrady 143,  Nové Hrady</t>
  </si>
  <si>
    <t>http://www.zevluvmlyn.cz</t>
  </si>
  <si>
    <t>https://www.facebook.com/zevluvmlyn</t>
  </si>
  <si>
    <t>https://goo.gl/1YEfcZ</t>
  </si>
  <si>
    <t>N 48°46.95882', E 14°47.35550'</t>
  </si>
  <si>
    <t>https://www.facebook.com/GalantPivovar</t>
  </si>
  <si>
    <t>Vojanův dvůr</t>
  </si>
  <si>
    <t>Minipivovar Vojanův dvůr</t>
  </si>
  <si>
    <t>Praha - Malá Strana</t>
  </si>
  <si>
    <t>U lužického semináře 119/21, Praha 1 - Malá Strana</t>
  </si>
  <si>
    <t>https://www.facebook.com/vojanuvdvurprague</t>
  </si>
  <si>
    <t>https://goo.gl/5og8MU</t>
  </si>
  <si>
    <t>Stejný majitel jako u pivovaru U tří růží</t>
  </si>
  <si>
    <t>N 50°5.38417', E 14°24.57035'</t>
  </si>
  <si>
    <t>Safari</t>
  </si>
  <si>
    <t>Safari pivovar</t>
  </si>
  <si>
    <t>Štefánikova 1029, Dvůr Králové nad Labem</t>
  </si>
  <si>
    <t>http://gastro-zoo.cz</t>
  </si>
  <si>
    <t>https://goo.gl/8kEZpV</t>
  </si>
  <si>
    <t>N 50°26.08543', E 15°47.91962'</t>
  </si>
  <si>
    <t>Ossegg Praha</t>
  </si>
  <si>
    <t>Pivovar Ossegg Praha</t>
  </si>
  <si>
    <t>Římská 2135/45, Praha 2 - Vinohrady</t>
  </si>
  <si>
    <t>https://www.facebook.com/ossegg.praha</t>
  </si>
  <si>
    <t>https://goo.gl/NT4Bc8</t>
  </si>
  <si>
    <t>Ossegg Holding</t>
  </si>
  <si>
    <t>Stejný majitel jako u pivovaru Ossegg (Osek)</t>
  </si>
  <si>
    <t>N 50°4.59892', E 14°26.31728'</t>
  </si>
  <si>
    <t>Nýřany</t>
  </si>
  <si>
    <t>Soběslav</t>
  </si>
  <si>
    <t>https://flic.kr/s/aHskEHBwBU</t>
  </si>
  <si>
    <t>Lhenice</t>
  </si>
  <si>
    <t>https://www.facebook.com/PivnibarDedkuvmlyn</t>
  </si>
  <si>
    <t>50.0519275</t>
  </si>
  <si>
    <t>Unhošť</t>
  </si>
  <si>
    <t>2016 / 2016</t>
  </si>
  <si>
    <t>Křešice</t>
  </si>
  <si>
    <t>Hradčany-Kobeřice</t>
  </si>
  <si>
    <t>Snědovice</t>
  </si>
  <si>
    <t>Průmyslová 4544/1c, Prostějov</t>
  </si>
  <si>
    <t>http://velkorakovskepivo.cz</t>
  </si>
  <si>
    <t>Masaj, Rupert, Velkorakovská</t>
  </si>
  <si>
    <t>https://flic.kr/s/aHsmupzZ4n</t>
  </si>
  <si>
    <t>https://flic.kr/s/aHsmpzz8ZK</t>
  </si>
  <si>
    <t>https://www.minipivovar-cepice.cz</t>
  </si>
  <si>
    <t>https://www.facebook.com/minipivovarcepice</t>
  </si>
  <si>
    <t>Rabí</t>
  </si>
  <si>
    <t>1680 / 2017</t>
  </si>
  <si>
    <t>20 píp</t>
  </si>
  <si>
    <t>Slezská 1357/1, Praha 2 - Vinohrady</t>
  </si>
  <si>
    <t>multipípa</t>
  </si>
  <si>
    <t>http://www.craftbeerpub.cz</t>
  </si>
  <si>
    <t>https://www.facebook.com/20pip</t>
  </si>
  <si>
    <t>https://goo.gl/hcsUyQ</t>
  </si>
  <si>
    <t>různá</t>
  </si>
  <si>
    <t>N 50°4.55808'. E 14°26.27495'</t>
  </si>
  <si>
    <t>ALE! Bar</t>
  </si>
  <si>
    <t>Elišky Peškové 79/9, Praha 5 - Smíchov</t>
  </si>
  <si>
    <t>https://www.facebook.com/alebar.smichov</t>
  </si>
  <si>
    <t>https://goo.gl/DiUpKZ</t>
  </si>
  <si>
    <t>N 50°4.65290'. E 14°24.31017'</t>
  </si>
  <si>
    <t>Amfik</t>
  </si>
  <si>
    <t>Vinohrady 1494/3, Mikulov</t>
  </si>
  <si>
    <t>https://www.facebook.com/petrzephyr</t>
  </si>
  <si>
    <t>Bývalá pivovarská Mamuta (U Chlupatého slona), rotující pípy</t>
  </si>
  <si>
    <t>Mamut, různá</t>
  </si>
  <si>
    <t>N 48°48.79678'. E 16°38.42467'</t>
  </si>
  <si>
    <t>Aux Café</t>
  </si>
  <si>
    <t>Žižkova 249, Tábor</t>
  </si>
  <si>
    <t>http://www.auxcafe.com</t>
  </si>
  <si>
    <t>https://www.facebook.com/auxcafe</t>
  </si>
  <si>
    <t>https://goo.gl/oB6MSL</t>
  </si>
  <si>
    <t>N 49°24.84952', E 14°39.68942'</t>
  </si>
  <si>
    <t>Azyl</t>
  </si>
  <si>
    <t>Široká 302/31, Liberec III - Jeřáb</t>
  </si>
  <si>
    <t>http://www.azyl-pivnibar.cz</t>
  </si>
  <si>
    <t>https://www.facebook.com/Azyl-Pivni-Bar-579654755528867</t>
  </si>
  <si>
    <t>https://goo.gl/Cnjbf3</t>
  </si>
  <si>
    <t>N 50°46.167' E 15°3.024'</t>
  </si>
  <si>
    <t>Babylon café</t>
  </si>
  <si>
    <t>Střelniční 10/1, Ostrava - Moravská Ostrava a Přívoz</t>
  </si>
  <si>
    <t>http://babyloncafe.cz</t>
  </si>
  <si>
    <t>https://www.facebook.com/babylonCafeOstrava</t>
  </si>
  <si>
    <t>https://goo.gl/xuqRkw</t>
  </si>
  <si>
    <t>Skřečoňský žabák, různá</t>
  </si>
  <si>
    <t>N 49°50.12620'. E 18°17.63970'</t>
  </si>
  <si>
    <t>Bad Flash Bar 1</t>
  </si>
  <si>
    <t>Bad Flash</t>
  </si>
  <si>
    <t>Krymská 126/2, Praha 10 - Vršovice</t>
  </si>
  <si>
    <t>pivovarská hospoda</t>
  </si>
  <si>
    <t>http://www.badflash.cz</t>
  </si>
  <si>
    <t>https://www.facebook.com/BadFlashBar</t>
  </si>
  <si>
    <t>https://goo.gl/UXjV5s</t>
  </si>
  <si>
    <t>Domovský podnik létajícího pivovaru Bad Flash; multipípa</t>
  </si>
  <si>
    <t>Bad Flash, různá</t>
  </si>
  <si>
    <t>N 50°4.29412'. E 14°26.82967'</t>
  </si>
  <si>
    <t>Bad Flash Bar 2</t>
  </si>
  <si>
    <t>Praha - Karlín</t>
  </si>
  <si>
    <t>Březinova 451/21, Praha 8 - Karlín</t>
  </si>
  <si>
    <t>https://www.facebook.com/BadFlashBarKarlin</t>
  </si>
  <si>
    <t>N 50°5.63065'. E 14°27.37018'</t>
  </si>
  <si>
    <t>Bar, který neexistuje</t>
  </si>
  <si>
    <t>Kozí 24/6, Brno-střed - Brno-město</t>
  </si>
  <si>
    <t>http://www.barkteryneexistuje.cz</t>
  </si>
  <si>
    <t>https://www.facebook.com/BarKteryNeexistuje</t>
  </si>
  <si>
    <t>https://goo.gl/RtAV8o</t>
  </si>
  <si>
    <t>N 49°11.75605'. E 16°36.58202'</t>
  </si>
  <si>
    <t>Baraba pub</t>
  </si>
  <si>
    <t>Čapkova 197/13, Český Těšín</t>
  </si>
  <si>
    <t>pivo z minipivovaru</t>
  </si>
  <si>
    <t>https://www.facebook.com/pivobaraba</t>
  </si>
  <si>
    <t>https://goo.gl/FnvTGd</t>
  </si>
  <si>
    <t>Domovský podnik létajícího nebo spíše "přebalovacího" pivovaru Baraba</t>
  </si>
  <si>
    <t>Baraba (PHM)</t>
  </si>
  <si>
    <t>N 49°44.67248'. E 18°37.42327'</t>
  </si>
  <si>
    <t>Barel bar</t>
  </si>
  <si>
    <t>Plhovská 320, Náchod</t>
  </si>
  <si>
    <t>průmyslové pivo</t>
  </si>
  <si>
    <t>https://www.facebook.com/BarelNachod</t>
  </si>
  <si>
    <t>Primátor</t>
  </si>
  <si>
    <t>N 50°25.08502'. E 16°9.93285'</t>
  </si>
  <si>
    <t>Barunka</t>
  </si>
  <si>
    <t>nábřeží Svazu protifašistických bojovníků 646/78, Ostrava - Poruba</t>
  </si>
  <si>
    <t>http://www.restaurace-barunka.cz</t>
  </si>
  <si>
    <t>https://www.facebook.com/Barunka-Speciál-Bar-386317198245968</t>
  </si>
  <si>
    <t>https://goo.gl/nYxmfN</t>
  </si>
  <si>
    <t>N 49°49.55042', E 18°9.71763'</t>
  </si>
  <si>
    <t>https://flic.kr/s/aHsmrrFyk5</t>
  </si>
  <si>
    <t>Bat Bar</t>
  </si>
  <si>
    <t>Bat Beer</t>
  </si>
  <si>
    <t>Juliánovské náměstí 3878/2, Brno - Židenice</t>
  </si>
  <si>
    <t>http://batbar.cz</t>
  </si>
  <si>
    <t>https://www.facebook.com/batbarbrno</t>
  </si>
  <si>
    <t>https://goo.gl/7u4mon</t>
  </si>
  <si>
    <t>Domovský podnik létajícího pivovaru Bat Beer; multipípa</t>
  </si>
  <si>
    <t>Bat Beer, různá</t>
  </si>
  <si>
    <t>N 49°11.49720'. E 16°39.27793'</t>
  </si>
  <si>
    <t>Batalion u Draků</t>
  </si>
  <si>
    <t>V Kopečku 163/19, Hradec Králové</t>
  </si>
  <si>
    <t>http://www.batalionudraku.cz</t>
  </si>
  <si>
    <t>https://www.facebook.com/BatalionUDraku</t>
  </si>
  <si>
    <t>https://goo.gl/LxkhUh</t>
  </si>
  <si>
    <t>N 50°12.587' E 15°49.889'</t>
  </si>
  <si>
    <t>BeerGeek</t>
  </si>
  <si>
    <t>Sibeeria</t>
  </si>
  <si>
    <t>Vinohradská 988/62, Praha 3 - Vinohrady</t>
  </si>
  <si>
    <t>http://beergeek.cz</t>
  </si>
  <si>
    <t>https://www.facebook.com/beergeek.bar</t>
  </si>
  <si>
    <t>https://goo.gl/dDqFkP</t>
  </si>
  <si>
    <t>Domovský podnik létajícího pivovaru Sibeeria (bývalý BeerLab); multipípa</t>
  </si>
  <si>
    <t>Sibeeria, různá</t>
  </si>
  <si>
    <t>N 50°4.62508'. E 14°27.00083'</t>
  </si>
  <si>
    <t>http://belveder-protivin.webnode.cz</t>
  </si>
  <si>
    <t>https://www.facebook.com/belveder.protivin</t>
  </si>
  <si>
    <t>Bartošovice v Orlických horách</t>
  </si>
  <si>
    <t>Protivín, Vysoký Chlumec</t>
  </si>
  <si>
    <t>N 49°12.20687'. E 14°13.06507'</t>
  </si>
  <si>
    <t>Kulečník u Hrocha</t>
  </si>
  <si>
    <t>Blackdog</t>
  </si>
  <si>
    <t>Česká 140, Beroun - Centrum</t>
  </si>
  <si>
    <t>http://www.blackdogs.cz/cs/beroun</t>
  </si>
  <si>
    <t>https://www.facebook.com/BlackdogCantina</t>
  </si>
  <si>
    <t>https://goo.gl/YSTeB7</t>
  </si>
  <si>
    <t>N 49°57.918' E 14°4.387'</t>
  </si>
  <si>
    <t>Blanická 28</t>
  </si>
  <si>
    <t>Blanická 1008/28, Praha 2 - Vinohrady</t>
  </si>
  <si>
    <t>https://www.abc.cz/firma/pivni-bar-blanicka-praha</t>
  </si>
  <si>
    <t>https://www.facebook.com/Pivní-BAR-Blanická-1428308534107321</t>
  </si>
  <si>
    <t>Pivo je na čepu jen příležitostně</t>
  </si>
  <si>
    <t>https://goo.gl/3yUNk9</t>
  </si>
  <si>
    <t>N 50°4.65805'. E 14°26.37673'</t>
  </si>
  <si>
    <t>Blanka</t>
  </si>
  <si>
    <t>Nový Šaldorf</t>
  </si>
  <si>
    <t>Nový Šaldorf 164, Nový Šaldorf-Sedlešovice - Nový Šaldorf</t>
  </si>
  <si>
    <t>http://www.pension-blanka.cz</t>
  </si>
  <si>
    <t>N 48°49.65742'. E 16°3.64220'</t>
  </si>
  <si>
    <t>Blues Bar Garch</t>
  </si>
  <si>
    <t>Litovelská 114/15, Olomouc - Nová Ulice</t>
  </si>
  <si>
    <t>http://www.garch.cz</t>
  </si>
  <si>
    <t>https://www.facebook.com/Bluesbar-GARCH-438324336252525</t>
  </si>
  <si>
    <t>N 49°35.74943'. E 17°14.31623'</t>
  </si>
  <si>
    <t>Bowling bar</t>
  </si>
  <si>
    <t>Novoměstská 227, Dobruška</t>
  </si>
  <si>
    <t>http://www.pivovar-dobruska.cz/cz/?bowling</t>
  </si>
  <si>
    <t>N 50°17.67723'. E 16°9.63615'</t>
  </si>
  <si>
    <t>Bruxx</t>
  </si>
  <si>
    <t>náměstí Míru 820/9, Praha 2 - Vinohrady</t>
  </si>
  <si>
    <t>http://www.bruxx.cz</t>
  </si>
  <si>
    <t>https://www.facebook.com/restauracebruxx</t>
  </si>
  <si>
    <t>https://goo.gl/nzqQLr</t>
  </si>
  <si>
    <t>různá belgická</t>
  </si>
  <si>
    <t>N 50°4.52682'. E 14°26.28170'</t>
  </si>
  <si>
    <t>Břetislava Sedláčka</t>
  </si>
  <si>
    <t>Doubravník 75, Doubravník</t>
  </si>
  <si>
    <t>http://www.doubravnik.cz/hospoda</t>
  </si>
  <si>
    <t>N 49°25.46435'. E 16°21.08822'</t>
  </si>
  <si>
    <t>Budvarka - Budvar</t>
  </si>
  <si>
    <t>K. Světlé 512/4, České Budějovice - České Budějovice 3</t>
  </si>
  <si>
    <t>http://www.pivnice-budvarka.cz/cs/budvarka-budvar</t>
  </si>
  <si>
    <t>N 48°59.60083'. E 14°28.63438'</t>
  </si>
  <si>
    <t>Budvarka - Dejvice</t>
  </si>
  <si>
    <t>Praha - Dejvice</t>
  </si>
  <si>
    <t>Wuchterlova 336/22, Praha 6 - Dejvice</t>
  </si>
  <si>
    <t>http://www.pivnice-budvarka.cz/budvarka-dejvice</t>
  </si>
  <si>
    <t>https://www.facebook.com/budvarkadejvice</t>
  </si>
  <si>
    <t>N 50°5.89400', E 14°23.77173'</t>
  </si>
  <si>
    <t>http://basteckypivovar.cz</t>
  </si>
  <si>
    <t>Budvarka - Malý pivovar</t>
  </si>
  <si>
    <t>https://www.facebook.com/basteckypivovar</t>
  </si>
  <si>
    <t>Karla IV. 99/8, České Budějovice - České Budějovice 1</t>
  </si>
  <si>
    <t>http://www.pivnice-budvarka.cz/cs/budvarka-maly-pivovar</t>
  </si>
  <si>
    <t>https://goo.gl/5agk3s</t>
  </si>
  <si>
    <t>https://www.facebook.com/pivnicebudvarka</t>
  </si>
  <si>
    <t>N 48°58.41680'. E 14°28.54760'</t>
  </si>
  <si>
    <t>Café Záhorský</t>
  </si>
  <si>
    <t>Eliášova 279/1, Praha 6 - Dejvice</t>
  </si>
  <si>
    <t>http://www.cafezahorsky.cz</t>
  </si>
  <si>
    <t>https://www.facebook.com/cafezahorsky</t>
  </si>
  <si>
    <t>N 50°5.88227'. E 14°24.08867'</t>
  </si>
  <si>
    <t>Magnet Café</t>
  </si>
  <si>
    <t>Jiráskova 241/41, Brno-střed - Veveří</t>
  </si>
  <si>
    <t>https://www.facebook.com/MagnetCafeBrno</t>
  </si>
  <si>
    <t>N 49°12.16940'. E 16°35.73068'</t>
  </si>
  <si>
    <t>Craft House</t>
  </si>
  <si>
    <t>Navrátilova 1421/11, Praha 1 - Nové Město</t>
  </si>
  <si>
    <t>https://www.crafthouse.cz</t>
  </si>
  <si>
    <t>https://www.facebook.com/crafthouseprg</t>
  </si>
  <si>
    <t>https://goo.gl/oVGbmt</t>
  </si>
  <si>
    <t>multipípa, velký podíl zahraničních piv</t>
  </si>
  <si>
    <t>N 50°4.72613'. E 14°25.40538'</t>
  </si>
  <si>
    <t>Jilemnice</t>
  </si>
  <si>
    <t>Craftbeer bottle shop &amp; bar</t>
  </si>
  <si>
    <t>Zelný trh 250/14, Brno-střed - Brno-město</t>
  </si>
  <si>
    <t>http://www.craftbeerimport.cz</t>
  </si>
  <si>
    <t>https://www.facebook.com/Craftbeer-bottle-shop-bar-1871132519814729</t>
  </si>
  <si>
    <t>https://goo.gl/9ZMbWq</t>
  </si>
  <si>
    <t>N 49°11.55775'. E 16°36.49932'</t>
  </si>
  <si>
    <t>Česká bašta</t>
  </si>
  <si>
    <t>Závodu míru 431/54, Karlovy Vary - Stará Role</t>
  </si>
  <si>
    <t>https://goo.gl/xHcDjU</t>
  </si>
  <si>
    <t>N 50°14.56818'. E 12°50.23580'</t>
  </si>
  <si>
    <t>Dačický</t>
  </si>
  <si>
    <t>Komenského náměstí 42/25, Kutná Hora - Vnitřní Město</t>
  </si>
  <si>
    <t>http://www.dacicky.com</t>
  </si>
  <si>
    <t>https://www.facebook.com/dacicky</t>
  </si>
  <si>
    <t>https://goo.gl/Bpmmzg</t>
  </si>
  <si>
    <t>6 druhů typově odlišných piv; bez rotující pípy</t>
  </si>
  <si>
    <t>Dačický (Velké Březno), Kutná hora, Kasteel Rouge</t>
  </si>
  <si>
    <t>N 49°56.900' E 15°15.888'</t>
  </si>
  <si>
    <t>Decentní Dýně</t>
  </si>
  <si>
    <t>Italská 833/32, Praha 2 - Vinohrady</t>
  </si>
  <si>
    <t>http://www.dcdyne.com</t>
  </si>
  <si>
    <t>N 50°4.73790'. E 14°26.23647'</t>
  </si>
  <si>
    <t>Dělnický dům</t>
  </si>
  <si>
    <t>2. května 7, Studénka</t>
  </si>
  <si>
    <t>http://www.delnicky-dum.com</t>
  </si>
  <si>
    <t>Hospoda majitele pivovaru Polivaru</t>
  </si>
  <si>
    <t>N 49°43.45697'. E 18°4.65373'</t>
  </si>
  <si>
    <t>http://www.topolskypivovar.cz</t>
  </si>
  <si>
    <t>Dno pytle</t>
  </si>
  <si>
    <t>Vinohradská 1485/63, Praha 2 - Vinohrady</t>
  </si>
  <si>
    <t>https://www.facebook.com/Topolskepivo</t>
  </si>
  <si>
    <t>http://www.dnopytle.cz</t>
  </si>
  <si>
    <t>https://www.facebook.com/dnopytle</t>
  </si>
  <si>
    <t>https://goo.gl/yaxdo5</t>
  </si>
  <si>
    <t>multipípa, pivotéka</t>
  </si>
  <si>
    <t>https://flic.kr/s/aHsmmWH9Jn</t>
  </si>
  <si>
    <t>N 50°4.62657', E 14°26.57167'</t>
  </si>
  <si>
    <t>Dobré pivo</t>
  </si>
  <si>
    <t>Baran</t>
  </si>
  <si>
    <t>Mariánské náměstí 46, Uherské Hradiště</t>
  </si>
  <si>
    <t>https://www.facebook.com/pivnicedobrepivo</t>
  </si>
  <si>
    <t>https://goo.gl/kLdtoX</t>
  </si>
  <si>
    <t>pivo z létajícího pivovaru; multipípa, pivotéka</t>
  </si>
  <si>
    <t>Baran, různá</t>
  </si>
  <si>
    <t>N 49°4.17358'. E 17°27.52825'</t>
  </si>
  <si>
    <t>Domácí hospoda</t>
  </si>
  <si>
    <t>Eliščino nábřeží 305/19, Hradec Králové</t>
  </si>
  <si>
    <t>https://www.facebook.com/domacihospoda</t>
  </si>
  <si>
    <t>713, Březňák</t>
  </si>
  <si>
    <t>N 50°12.61988'. E 15°49.73563'</t>
  </si>
  <si>
    <t>Don bistro</t>
  </si>
  <si>
    <t>Československé armády 2179, Frýdek-Místek - Místek</t>
  </si>
  <si>
    <t>https://www.facebook.com/donbistro666</t>
  </si>
  <si>
    <t>https://goo.gl/pCqBDH</t>
  </si>
  <si>
    <t>N 49°40.57197'. E 18°20.03322'</t>
  </si>
  <si>
    <t>Doors</t>
  </si>
  <si>
    <t>třída Edvarda Beneše 1431/5, Hradec Králové - Nový Hradec Králové</t>
  </si>
  <si>
    <t>https://www.facebook.com/pivnicedoors</t>
  </si>
  <si>
    <t>https://goo.gl/fTHxzc</t>
  </si>
  <si>
    <t>N 50°11.68700'. E 15°50.44142'</t>
  </si>
  <si>
    <t>Dřevěný sud</t>
  </si>
  <si>
    <t>Pivečka</t>
  </si>
  <si>
    <t>Hlinky 159/90, Brno-střed - Staré Brno</t>
  </si>
  <si>
    <t>http://pivecka.eu</t>
  </si>
  <si>
    <t>https://www.facebook.com/drevenysudbrno</t>
  </si>
  <si>
    <t>https://goo.gl/QrVfmi</t>
  </si>
  <si>
    <t>Domovský podnik létajícího pivovaru Pivečka; multipípa</t>
  </si>
  <si>
    <t>Pivečka, různá</t>
  </si>
  <si>
    <t>N 49°11.40430'. E 16°34.98018'</t>
  </si>
  <si>
    <t>Dvůr</t>
  </si>
  <si>
    <t>Sady 28. října 431/17a, Břeclav</t>
  </si>
  <si>
    <t>http://www.dvurbreclav.cz</t>
  </si>
  <si>
    <t>https://www.facebook.com/dvurbreclav1</t>
  </si>
  <si>
    <t>https://goo.gl/5pzamk</t>
  </si>
  <si>
    <t>N 48°45.30937'. E 16°53.38945'</t>
  </si>
  <si>
    <t>Excelsior</t>
  </si>
  <si>
    <t>Dachovar</t>
  </si>
  <si>
    <t>Bělehradská 1350/19, Praha 2 - Vinohrady</t>
  </si>
  <si>
    <t>http://www.excelsiorpub.cz</t>
  </si>
  <si>
    <t>https://www.facebook.com/ExcelsiorPub</t>
  </si>
  <si>
    <t>https://goo.gl/L1C5oF</t>
  </si>
  <si>
    <t>Domovský podnik létajícího pivovaru Dachovar</t>
  </si>
  <si>
    <t>N 50°4.08645'. E 14°26.17470'</t>
  </si>
  <si>
    <t>F.A. Bar - Oranžová</t>
  </si>
  <si>
    <t>Šimáčkova 236/3, Brno - Líšeň</t>
  </si>
  <si>
    <t>http://www.fabar.cz</t>
  </si>
  <si>
    <t>Akrobat, Čmelák, Kapitán, Letuška, Navigátor, Pilot</t>
  </si>
  <si>
    <t>https://www.facebook.com/Oranzova</t>
  </si>
  <si>
    <t>https://goo.gl/Kb5E79</t>
  </si>
  <si>
    <t>N 49°12.447' E 16°41.685'</t>
  </si>
  <si>
    <t>Praha - Vršovice</t>
  </si>
  <si>
    <t>Bulharská 734/28, Praha 10 - Vršovice</t>
  </si>
  <si>
    <t>Pivovar Kousek Piva</t>
  </si>
  <si>
    <t>https://www.facebook.com/Pivnice-Ferdinand-732344060191365</t>
  </si>
  <si>
    <t>N 50°4.29923'. E 14°27.67287'</t>
  </si>
  <si>
    <t>Ferdinanda</t>
  </si>
  <si>
    <t>Komenského 266/3, Hradec Králové</t>
  </si>
  <si>
    <t>http://www.ferdinanda.eu</t>
  </si>
  <si>
    <t>N 50°12.48158'. E 15°49.93762'</t>
  </si>
  <si>
    <t>https://www.facebook.com/kousekpiva</t>
  </si>
  <si>
    <t>https://goo.gl/978tQW</t>
  </si>
  <si>
    <t>Food &amp; Cafe Park</t>
  </si>
  <si>
    <t>Skřečoňský Žabák</t>
  </si>
  <si>
    <t>Šunychelská 1217, Bohumín - Nový Bohumín</t>
  </si>
  <si>
    <t>http://www.foodcafepark.cz</t>
  </si>
  <si>
    <t>https://www.facebook.com/FoodCafeParkBohumin</t>
  </si>
  <si>
    <t>N 49°54.40837'. E 18°21.78503'</t>
  </si>
  <si>
    <t>Francis - Brewhemian Beer Café</t>
  </si>
  <si>
    <t>náměstí Republiky 4/3, Plzeň 3 - Vnitřní Město</t>
  </si>
  <si>
    <t>http://brewhemian.eu/cs/francis-brewhemian-beer-cafe</t>
  </si>
  <si>
    <t>https://www.facebook.com/PivniKavarna</t>
  </si>
  <si>
    <t>https://goo.gl/QR5TJ1</t>
  </si>
  <si>
    <t>Zhůřák, Raven</t>
  </si>
  <si>
    <t>N 49°44.88417'. E 13°22.69853'</t>
  </si>
  <si>
    <t>https://www.facebook.com/ctyrilipy</t>
  </si>
  <si>
    <t>Gulden Draak Bierhuis</t>
  </si>
  <si>
    <t>Soukenická 1756/34, Praha 1 - Nové Město</t>
  </si>
  <si>
    <t>https://www.guldendraak.cz</t>
  </si>
  <si>
    <t>https://www.facebook.com/GuldenDraakCZ</t>
  </si>
  <si>
    <t>https://goo.gl/B3jWB9</t>
  </si>
  <si>
    <t>belgická piva; multipípa</t>
  </si>
  <si>
    <t>N 50°5.47507'. E 14°25.86683'</t>
  </si>
  <si>
    <t>Havlíček</t>
  </si>
  <si>
    <t>Čechova 521/34, České Budějovice - České Budějovice 6</t>
  </si>
  <si>
    <t>https://www.facebook.com/Hostinec.Havlicek</t>
  </si>
  <si>
    <t>N 48°58.01967'. E 14°28.87593'</t>
  </si>
  <si>
    <t>Hluchá zmije</t>
  </si>
  <si>
    <t>Veveří 485/55, Brno-střed - Veveří</t>
  </si>
  <si>
    <t>https://www.facebook.com/hluchazmije</t>
  </si>
  <si>
    <t>https://goo.gl/WWgGPy</t>
  </si>
  <si>
    <t>N 49°12.18342'. E 16°35.81883'</t>
  </si>
  <si>
    <t>Holešovická Kozlovna</t>
  </si>
  <si>
    <t>Velkopopovický kozel</t>
  </si>
  <si>
    <t>Dělnická 1501/28, Praha 7 - Holešovice</t>
  </si>
  <si>
    <t>http://www.holesovickakozlovna.cz</t>
  </si>
  <si>
    <t>N 50°6.17722', E 14°26.91518'</t>
  </si>
  <si>
    <t>Velká nad Veličkou 154, Velká nad Veličkou</t>
  </si>
  <si>
    <t>http://www.hornackysenk.cz</t>
  </si>
  <si>
    <t>https://www.facebook.com/hornackysenk</t>
  </si>
  <si>
    <t>N 48°52.95980'. E 17°31.18373'</t>
  </si>
  <si>
    <t>Horní hospoda</t>
  </si>
  <si>
    <t>https://flic.kr/s/aHskLXxw2m</t>
  </si>
  <si>
    <t>Hlavní 386, Dolní Bojanovice</t>
  </si>
  <si>
    <t>http://horni-hospoda.webnode.cz</t>
  </si>
  <si>
    <t>N 48°51.55643'. E 17°1.69778'</t>
  </si>
  <si>
    <t>Hostomická nalévárna</t>
  </si>
  <si>
    <t>Soukenická 1192/17, Praha 1 - Nové Město</t>
  </si>
  <si>
    <t>https://www.facebook.com/pivovarhostomicepodbrdy</t>
  </si>
  <si>
    <t>N 50°5.47865'. E 14°25.81325'</t>
  </si>
  <si>
    <t>Hotel Krakonoš</t>
  </si>
  <si>
    <t>Barvířská 41, Trutnov - Horní Předměstí</t>
  </si>
  <si>
    <t>http://www.hotel-krakonos.cz</t>
  </si>
  <si>
    <t>https://www.facebook.com/hotelkrakonos13</t>
  </si>
  <si>
    <t>N 50°33.68450'. E 15°54.62893'</t>
  </si>
  <si>
    <t>Hotel Sladovna</t>
  </si>
  <si>
    <t>http://www.hotelsladovna.cz</t>
  </si>
  <si>
    <t>https://www.facebook.com/hotelsladovna</t>
  </si>
  <si>
    <t>N 49°24.90715'. E 16°34.94980'</t>
  </si>
  <si>
    <t>HoZpoda</t>
  </si>
  <si>
    <t>Masarykovo náměstí 449/22, Znojmo</t>
  </si>
  <si>
    <t>http://www.hozpoda.cz</t>
  </si>
  <si>
    <t>N 48°51.25672', E 16°2.92007'</t>
  </si>
  <si>
    <t>Charleston</t>
  </si>
  <si>
    <t>Brno - Bystrc</t>
  </si>
  <si>
    <t>Přístavní 1250/36b, Brno - Bystrc</t>
  </si>
  <si>
    <t>https://www.facebook.com/charlestonprehrada</t>
  </si>
  <si>
    <t>N 49°13.76862', E 16°31.26435'</t>
  </si>
  <si>
    <t>Chýše</t>
  </si>
  <si>
    <t>Praha - Čimice</t>
  </si>
  <si>
    <t>Mlazická 16, Praha 8 - Čimice</t>
  </si>
  <si>
    <t>http://www.barchyse.cz</t>
  </si>
  <si>
    <t>https://www.facebook.com/barchyse.cz</t>
  </si>
  <si>
    <t>https://goo.gl/nrZm8B</t>
  </si>
  <si>
    <t>Matuška, Strahovský</t>
  </si>
  <si>
    <t>N 50°8.468' E 14°25.951'</t>
  </si>
  <si>
    <t>ICafé Zašová</t>
  </si>
  <si>
    <t>Zašová 809, Zašová</t>
  </si>
  <si>
    <t>https://www.facebook.com/iCafeZasova</t>
  </si>
  <si>
    <t>N 49°28.57765'. E 18°2.64937'</t>
  </si>
  <si>
    <t>Illegal beer</t>
  </si>
  <si>
    <t>Ve Smečkách 590/16, Praha 1 - Nové Město</t>
  </si>
  <si>
    <t>http://www.illegalbeer.cz</t>
  </si>
  <si>
    <t>https://www.facebook.com/illegalbeer</t>
  </si>
  <si>
    <t>https://goo.gl/mu8K4f</t>
  </si>
  <si>
    <t>N 50°4.70352'. E 14°25.61400'</t>
  </si>
  <si>
    <t>JBM Brew Lab Pub</t>
  </si>
  <si>
    <t>Grohova 113/17, Brno-střed - Veveří</t>
  </si>
  <si>
    <t>https://www.facebook.com/JBMBrewLabPub</t>
  </si>
  <si>
    <t>N 49°12.03373'. E 16°35.76392'</t>
  </si>
  <si>
    <t>JR Pub &amp; Food</t>
  </si>
  <si>
    <t>Brno - Kohoutovice</t>
  </si>
  <si>
    <t>Libušina třída 826/23, Brno - Kohoutovice</t>
  </si>
  <si>
    <t>http://www.jrclub.cz</t>
  </si>
  <si>
    <t>https://www.facebook.com/JRpubfood</t>
  </si>
  <si>
    <t>https://goo.gl/mhnc2t</t>
  </si>
  <si>
    <t>pivotéka</t>
  </si>
  <si>
    <t>Buddy's (?), různá</t>
  </si>
  <si>
    <t>N 49°11.308' E 16°32.077'</t>
  </si>
  <si>
    <t>https://flic.kr/s/aHsmmnvaU9</t>
  </si>
  <si>
    <t>Kalikovský mlýn</t>
  </si>
  <si>
    <t>http://www.restaurace.kalikovskymlyn.cz</t>
  </si>
  <si>
    <t>https://www.facebook.com/kalikovsky.mlyn.restaurace</t>
  </si>
  <si>
    <t>N 49°45.02137'. E 13°21.92020'</t>
  </si>
  <si>
    <t>https://www.facebook.com/pivovarfeldsberg</t>
  </si>
  <si>
    <t>Katolický lidový dům - Tosca</t>
  </si>
  <si>
    <t>https://goo.gl/oGxy8W</t>
  </si>
  <si>
    <t>Junácká 413/124, Ostrava - Stará Bělá</t>
  </si>
  <si>
    <t>http://katolickydum.starobelskypivovar.cz</t>
  </si>
  <si>
    <t>N 49°45.78380'. E 18°14.28695'</t>
  </si>
  <si>
    <t>Klášterní taverna u Benediktinů</t>
  </si>
  <si>
    <t>Klášter 748, Rajhrad</t>
  </si>
  <si>
    <t>http://ktaverna.cz</t>
  </si>
  <si>
    <t>https://www.facebook.com/ktaverna.cz</t>
  </si>
  <si>
    <t>N 49°5.40785', E 16°36.87947'</t>
  </si>
  <si>
    <t>Klub malých pivovarů</t>
  </si>
  <si>
    <t>Nádražní 262/16, Plzeň 3 - Východní Předměstí</t>
  </si>
  <si>
    <t>http://www.klubmalychpivovaru.cz</t>
  </si>
  <si>
    <t>https://goo.gl/wzXAKo</t>
  </si>
  <si>
    <t>N 49°44.719' E 13°23.191'</t>
  </si>
  <si>
    <t>Husova tř. 119/103, České Budějovice - České Budějovice 2</t>
  </si>
  <si>
    <t>http://www.kmpcb.cz</t>
  </si>
  <si>
    <t>https://www.facebook.com/kmpcES</t>
  </si>
  <si>
    <t>https://goo.gl/EA9JGq</t>
  </si>
  <si>
    <t>N 48°58.96555'. E 14°27.29812'</t>
  </si>
  <si>
    <t>Kolčavka - Zahradní restaurace</t>
  </si>
  <si>
    <t>Praha - Michle</t>
  </si>
  <si>
    <t>Nuselská 159/114, Praha 4 - Michle</t>
  </si>
  <si>
    <t>https://www.facebook.com/Pivovar-Kolčavka-872990149385885</t>
  </si>
  <si>
    <t>N 50°3.34815'. E 14°27.07092'</t>
  </si>
  <si>
    <t>Kolkovna Argentinská</t>
  </si>
  <si>
    <t>U garáží 1611/1, Praha 7 - Holešovice</t>
  </si>
  <si>
    <t>http://www.kolkovna.cz/cs/kolkovna-argentinska-23</t>
  </si>
  <si>
    <t>https://www.facebook.com/KolkovnaRestaurants</t>
  </si>
  <si>
    <t>N 50°6.07597', E 14°26.66968'</t>
  </si>
  <si>
    <t>Kolkovna Budějovická</t>
  </si>
  <si>
    <t>Budějovická 1518/13a, Praha 4 - Michle</t>
  </si>
  <si>
    <t>http://www.kolkovna.cz/cs/kolkovna-budejovicka-18</t>
  </si>
  <si>
    <t>N 50°2.71200', E 14°26.95200'</t>
  </si>
  <si>
    <t>Kolkovna Celnice</t>
  </si>
  <si>
    <t>V celnici 1031/4, Praha 1 - Nové Město</t>
  </si>
  <si>
    <t>http://www.kolkovna.cz/cs/kolkovna-celnice-13</t>
  </si>
  <si>
    <t>N 50°5.27115', E 14°25.80162'</t>
  </si>
  <si>
    <t>Kolkovna Olympia</t>
  </si>
  <si>
    <t>Vítězná 619/7, Praha 5 - Malá Strana</t>
  </si>
  <si>
    <t>http://www.kolkovna.cz/cs/kolkovna-olympia-12</t>
  </si>
  <si>
    <t>https://flic.kr/s/aHsmhesQQu</t>
  </si>
  <si>
    <t>N 50°4.86768', E 14°24.39713'</t>
  </si>
  <si>
    <t>Kolkovna Savarin</t>
  </si>
  <si>
    <t>Na příkopě 852/10, Praha 1 - Nové Město</t>
  </si>
  <si>
    <t>http://www.kolkovna.cz/cs/kolkovna-savarin-20</t>
  </si>
  <si>
    <t>N 50°5.09677', E 14°25.49440'</t>
  </si>
  <si>
    <t>Kolkovna Stodůlky</t>
  </si>
  <si>
    <t>Siemensova 2717/4, Praha 13 - Stodůlky</t>
  </si>
  <si>
    <t>http://www.kolkovna.cz/cs/kolkovna-stodulky-24</t>
  </si>
  <si>
    <t>N 50°2.83808', E 14°18.36847'</t>
  </si>
  <si>
    <t>Konírna</t>
  </si>
  <si>
    <t>Městec Králové</t>
  </si>
  <si>
    <t>Palackého 117, Městec Králové</t>
  </si>
  <si>
    <t>http://www.restauracekonirna.cz</t>
  </si>
  <si>
    <t>https://www.facebook.com/Konirna</t>
  </si>
  <si>
    <t>N 50°12.35415'. E 15°17.57255'</t>
  </si>
  <si>
    <t>Kozlovna Alfa</t>
  </si>
  <si>
    <t>Znojemská 1235/29, Třebíč - Horka-Domky</t>
  </si>
  <si>
    <t>http://www.kozlovnaalfa.cz</t>
  </si>
  <si>
    <t>https://www.facebook.com/KozlovnaAlfa</t>
  </si>
  <si>
    <t>N 49°12.38192', E 15°53.20313'</t>
  </si>
  <si>
    <t>Kozlovna Almara</t>
  </si>
  <si>
    <t>Klapkova 314/80, Praha 8 - Kobylisy</t>
  </si>
  <si>
    <t>http://www.kozlova-almara.cz</t>
  </si>
  <si>
    <t>N 50°7.76268', E 14°27.32477'</t>
  </si>
  <si>
    <t>Kozlovna Apropos</t>
  </si>
  <si>
    <t>Křižovnická 87/4, Praha 1 - Staré Město</t>
  </si>
  <si>
    <t>http://www.kozlovna-apropos.cz</t>
  </si>
  <si>
    <t>https://www.facebook.com/Kozlovna.Apropos</t>
  </si>
  <si>
    <t>N 50°5.24433', E 14°24.91728'</t>
  </si>
  <si>
    <t>Kozlovna Beroun</t>
  </si>
  <si>
    <t>Na Ostrově 3/15, Beroun - Beroun-Závodí</t>
  </si>
  <si>
    <t>http://www.kozlovnaberoun.cz</t>
  </si>
  <si>
    <t>https://www.facebook.com/kozlovnaberoun</t>
  </si>
  <si>
    <t>N 49°57.87023', E 14°4.60230'</t>
  </si>
  <si>
    <t>Kozlovna Bílá růže</t>
  </si>
  <si>
    <t>Čáslav</t>
  </si>
  <si>
    <t>Pražská 116/1, Čáslav - Čáslav-Nové Město</t>
  </si>
  <si>
    <t>http://www.kozlovnabilaruze.cz</t>
  </si>
  <si>
    <t>https://www.facebook.com/Kozlovna-Bílá-růže-801612859922996</t>
  </si>
  <si>
    <t>N 49°54.87292', E 15°23.28163'</t>
  </si>
  <si>
    <t>Kozlovna Celnice</t>
  </si>
  <si>
    <t>Bartošova 4393, Zlín</t>
  </si>
  <si>
    <t>http://kozlovna.cz/celnice</t>
  </si>
  <si>
    <t>https://www.facebook.com/Kozlovna-Celnice-600169626802982</t>
  </si>
  <si>
    <t>N 49°13.63167', E 17°39.94118'</t>
  </si>
  <si>
    <t>Kozlovna Doubravka</t>
  </si>
  <si>
    <t>Plzeň - Doubravka</t>
  </si>
  <si>
    <t>Masarykova 1201/75, Plzeň 4 - Doubravka</t>
  </si>
  <si>
    <t>https://www.facebook.com/Srbeck%C3%BD-LOK-724742021215786</t>
  </si>
  <si>
    <t>http://kozlovna.cz/doubravka</t>
  </si>
  <si>
    <t>https://www.facebook.com/kozlovnaplzen.cz</t>
  </si>
  <si>
    <t>N 49°45.14055', E 13°24.92480'</t>
  </si>
  <si>
    <t>Kozlovna Krystal</t>
  </si>
  <si>
    <t>Žižkova 1872/89, Jihlava</t>
  </si>
  <si>
    <t>http://kozlovna.cz/krystal</t>
  </si>
  <si>
    <t>https://www.facebook.com/kozlovnajihlava</t>
  </si>
  <si>
    <t>N 49°23.65180', E 15°34.55065'</t>
  </si>
  <si>
    <t>Kozlovna Lidická</t>
  </si>
  <si>
    <t>Lidická 796/20, Praha 5 - Smíchov</t>
  </si>
  <si>
    <t>http://www.kozlovna.eu</t>
  </si>
  <si>
    <t>https://www.facebook.com/kozlovnaeu</t>
  </si>
  <si>
    <t>N 50°4.34893', E 14°24.44398'</t>
  </si>
  <si>
    <t>Kozlovna M3</t>
  </si>
  <si>
    <t>17. listopadu 1126/43, Olomouc</t>
  </si>
  <si>
    <t>http://www.kozlovnam3.cz</t>
  </si>
  <si>
    <t>https://www.facebook.com/kozlovnam3</t>
  </si>
  <si>
    <t>N 49°35.64192', E 17°15.73775'</t>
  </si>
  <si>
    <t>Kozlovna Měšťan</t>
  </si>
  <si>
    <t>Panská 102, Jindřichův Hradec - Jindřichův Hradec I</t>
  </si>
  <si>
    <t>http://kozlovna.cz/mestan</t>
  </si>
  <si>
    <t>https://www.facebook.com/KozlovnaMestan</t>
  </si>
  <si>
    <t>N 49°8.71672', E 15°0.18112'</t>
  </si>
  <si>
    <t>Kozlovna Mezi trhy</t>
  </si>
  <si>
    <t>Mezi Trhy 141/8, Opava - Město</t>
  </si>
  <si>
    <t>http://kozlovna.cz/mezi-trhy</t>
  </si>
  <si>
    <t>https://www.facebook.com/kozlovnamezitrhy</t>
  </si>
  <si>
    <t>N 49°56.35400', E 17°54.26843'</t>
  </si>
  <si>
    <t>Kozlovna Na Baronce</t>
  </si>
  <si>
    <t>Hálkova 102, Humpolec</t>
  </si>
  <si>
    <t>http://kozlovna-humpolec.xf.cz</t>
  </si>
  <si>
    <t>https://www.facebook.com/kozlovna.humpolec</t>
  </si>
  <si>
    <t>N 49°32.34155', E 15°21.27880'</t>
  </si>
  <si>
    <t>Kozlovna na Marjánce</t>
  </si>
  <si>
    <t>Mixova 211, Příbram - Příbram III</t>
  </si>
  <si>
    <t>http://kozlovna.cz/na-marjance</t>
  </si>
  <si>
    <t>https://www.facebook.com/Kozlovna-na-Marjánce-148027162352104</t>
  </si>
  <si>
    <t>N 49°40.97950', E 14°0.54717'</t>
  </si>
  <si>
    <t>Kozlovna Skleník</t>
  </si>
  <si>
    <t>Antonína Sovy 3009, Česká Lípa</t>
  </si>
  <si>
    <t>http://kozlovna.cz/sklenik</t>
  </si>
  <si>
    <t>https://www.facebook.com/KozlovnaSklenik</t>
  </si>
  <si>
    <t>N 50°41.40150', E 14°31.56778'</t>
  </si>
  <si>
    <t>Kozlovna Tylák</t>
  </si>
  <si>
    <t>Bělehradská 478/110, Praha 2 - Vinohrady</t>
  </si>
  <si>
    <t>http://www.kozlovnatylak.cz</t>
  </si>
  <si>
    <t>https://www.facebook.com/kozlovna.tylak</t>
  </si>
  <si>
    <t>N 50°4.49207', E 14°25.96177'</t>
  </si>
  <si>
    <t>Kozlovna U dvou koček</t>
  </si>
  <si>
    <t>Masarykova 138, Nové Město na Moravě</t>
  </si>
  <si>
    <t>http://kozlovna.cz/u-dvou-kocek</t>
  </si>
  <si>
    <t>N 49°33.85067', E 16°4.65633'</t>
  </si>
  <si>
    <t>Kozlovna U Františka</t>
  </si>
  <si>
    <t>nám. F. Křižíka 1483/5, Tábor</t>
  </si>
  <si>
    <t>http://kozlovna.cz/u-frantiska</t>
  </si>
  <si>
    <t>https://www.facebook.com/Kozlovna-U-Franti%C5%A1ka-366131660222280</t>
  </si>
  <si>
    <t>N 49°24.75393', E 14°39.85112'</t>
  </si>
  <si>
    <t>Kozlovna U hejtmana Šarovce</t>
  </si>
  <si>
    <t>Dvořákova 595, Uherské Hradiště</t>
  </si>
  <si>
    <t>http://www.kozlovnasarovec.cz</t>
  </si>
  <si>
    <t>https://www.facebook.com/kozlovnasarovec</t>
  </si>
  <si>
    <t>N 49°4.05237', E 17°27.96442'</t>
  </si>
  <si>
    <t>Mamut, various</t>
  </si>
  <si>
    <t>Kozlovna U Ježka</t>
  </si>
  <si>
    <t>Klegova 771/19, Ostrava-Jih - Hrabůvka</t>
  </si>
  <si>
    <t>http://www.kozlovnaujezka.cz</t>
  </si>
  <si>
    <t>https://www.facebook.com/kozlovnaujezka.cz</t>
  </si>
  <si>
    <t>N 49°47.28538', E 18°16.01967'</t>
  </si>
  <si>
    <t>Kozlovna U Komína</t>
  </si>
  <si>
    <t>Na Severním sídlišti I 1071, Sedlčany</t>
  </si>
  <si>
    <t>http://kozlovna.cz/u-komina</t>
  </si>
  <si>
    <t>https://www.facebook.com/Kozlovna-U-Komína-1025909904110344</t>
  </si>
  <si>
    <t>N 49°39.63313', E 14°25.20652'</t>
  </si>
  <si>
    <t>Kozlovna U Kozla</t>
  </si>
  <si>
    <t>Holešov</t>
  </si>
  <si>
    <t>Novosady 1583, Holešov</t>
  </si>
  <si>
    <t>http://www.kozlovnaholesov.cz</t>
  </si>
  <si>
    <t>https://www.facebook.com/Kozlovna-U-Kozla-227147724324590</t>
  </si>
  <si>
    <t>N 49°19.87702', E 17°34.13922'</t>
  </si>
  <si>
    <t>Kozlovna u Malchrů</t>
  </si>
  <si>
    <t>Brno - Židenice</t>
  </si>
  <si>
    <t>Vančurova 3152/1, Brno - Židenice</t>
  </si>
  <si>
    <t>http://kozlovna.cz/u-malchru</t>
  </si>
  <si>
    <t>https://www.facebook.com/kozlovnaumalchru</t>
  </si>
  <si>
    <t>N 49°11.75623', E 16°38.96862'</t>
  </si>
  <si>
    <t>Kozlovna U Paukerta</t>
  </si>
  <si>
    <t>Národní 981/17, Praha 1 - Staré Město</t>
  </si>
  <si>
    <t>http://kozlovna.cz/u-paukerta</t>
  </si>
  <si>
    <t>https://www.facebook.com/upaukerta</t>
  </si>
  <si>
    <t>Skřečoňský žabák, various</t>
  </si>
  <si>
    <t>N 50°4.91627', E 14°25.02108'</t>
  </si>
  <si>
    <t>Kozlovna U Plechandy</t>
  </si>
  <si>
    <t>Svatotrojická 164/5, Písek - Pražské Předměstí</t>
  </si>
  <si>
    <t>http://www.kozlovnauplechandy.cz</t>
  </si>
  <si>
    <t>https://www.facebook.com/kozlovnauplechandy</t>
  </si>
  <si>
    <t>N 49°18.55772', E 14°8.67488'</t>
  </si>
  <si>
    <t>Kozlovna U Stříbrného pudla</t>
  </si>
  <si>
    <t>Bad Flash, various</t>
  </si>
  <si>
    <t>Chebská 495/12, Mariánské Lázně</t>
  </si>
  <si>
    <t>http://kozlovna.cz/u-stribrneho-pudla</t>
  </si>
  <si>
    <t>https://www.facebook.com/Kozlovna-U-Stříbrného-pudla-254842644851156</t>
  </si>
  <si>
    <t>N 49°57.88337', E 12°41.94120'</t>
  </si>
  <si>
    <t>Kozlovna U Zelené ratolesti</t>
  </si>
  <si>
    <t>Husova tř. 1847/5, České Budějovice - České Budějovice 3</t>
  </si>
  <si>
    <t>http://www.kozlovnacb.cz</t>
  </si>
  <si>
    <t>https://www.facebook.com/kozlovnacb</t>
  </si>
  <si>
    <t>N 48°58.66998', E 14°28.19545'</t>
  </si>
  <si>
    <t>Kozlovna Zlatý Časy</t>
  </si>
  <si>
    <t>Zahradní 214/15, Hlučín</t>
  </si>
  <si>
    <t>http://www.kozlovnazlatycasy.cz</t>
  </si>
  <si>
    <t>N 49°53.91422', E 18°11.55500'</t>
  </si>
  <si>
    <t>Kozlovna Zlatý jelen</t>
  </si>
  <si>
    <t>Palackého 4631/61a, Jablonec nad Nisou - Mšeno nad Nisou</t>
  </si>
  <si>
    <t>http://kozlovna.cz/zlaty-jelen</t>
  </si>
  <si>
    <t>https://www.facebook.com/zlaty.jelen.3</t>
  </si>
  <si>
    <t>N 50°44.47735', E 15°9.70818'</t>
  </si>
  <si>
    <t>Krkonošská hospůdka</t>
  </si>
  <si>
    <t>Muchova 222/7, Praha 6 - Dejvice</t>
  </si>
  <si>
    <t>http://www.krkonosskahospudka.cz/</t>
  </si>
  <si>
    <t>https://www.facebook.com/krkohospudka</t>
  </si>
  <si>
    <t>https://goo.gl/75idwx</t>
  </si>
  <si>
    <t>N 50°5.896' E 14°24.389'</t>
  </si>
  <si>
    <t>Kulový blesk</t>
  </si>
  <si>
    <t>Sokolská 1499/13, Praha 2 - Nové Město</t>
  </si>
  <si>
    <t>http://www.restauracekulovyblesk.cz/</t>
  </si>
  <si>
    <t>https://www.facebook.com/restauracekulovyblesk</t>
  </si>
  <si>
    <t>https://goo.gl/smtMPe</t>
  </si>
  <si>
    <t>N 50°4.414' E 14°25.739'</t>
  </si>
  <si>
    <t>Kurnik Šopa Hospoda²</t>
  </si>
  <si>
    <t>Myslbekova 528/13, Ostrava - Moravská Ostrava a Přívoz</t>
  </si>
  <si>
    <t>http://www.kurniksopahospoda.cz</t>
  </si>
  <si>
    <t>Barunka special bar</t>
  </si>
  <si>
    <t>https://www.facebook.com/kurniksopahospodanadruhou</t>
  </si>
  <si>
    <t>https://goo.gl/TjPFz7</t>
  </si>
  <si>
    <t>Bývalá hospoda U sudu a bývalá pivovarská Brabčáka; multipípa</t>
  </si>
  <si>
    <t>N 49°50.99832'. E 18°16.79265'</t>
  </si>
  <si>
    <t>Kýbl krve</t>
  </si>
  <si>
    <t>Ostrava - Výškovice</t>
  </si>
  <si>
    <t>Šeříková 763/13, Ostrava-Jih - Výškovice</t>
  </si>
  <si>
    <t>https://www.facebook.com/kyblkrve</t>
  </si>
  <si>
    <t>https://goo.gl/aLbp1H</t>
  </si>
  <si>
    <t>N 49°46.99270'. E 18°13.41672'</t>
  </si>
  <si>
    <t>La Putyka</t>
  </si>
  <si>
    <t>Kelč 592, Kelč</t>
  </si>
  <si>
    <t>https://www.facebook.com/La-Putyka-670533039667048</t>
  </si>
  <si>
    <t>N 49°28.85123'. E 17°49.19435'</t>
  </si>
  <si>
    <t>Strašín - Lazny</t>
  </si>
  <si>
    <t>Lazny 178, Strašín</t>
  </si>
  <si>
    <t>Bat Beer, various</t>
  </si>
  <si>
    <t>N 49°10.38922'. E 13°38.10458'</t>
  </si>
  <si>
    <t>Les Moules</t>
  </si>
  <si>
    <t>Praha - Josefov</t>
  </si>
  <si>
    <t>Pařížská 203/19, Praha 1 - Josefov</t>
  </si>
  <si>
    <t>http://www.lesmoules.cz</t>
  </si>
  <si>
    <t>https://www.facebook.com/LesMoulesPraha</t>
  </si>
  <si>
    <t>https://goo.gl/qinj25</t>
  </si>
  <si>
    <t>belgická piva; pivotéka</t>
  </si>
  <si>
    <t>Les Moules (dříve Roland de Flanders, Van Steenberge), různá belgická</t>
  </si>
  <si>
    <t>N 50°5.449' E 14°25.097'</t>
  </si>
  <si>
    <t>Los Bastardos</t>
  </si>
  <si>
    <t>Komenského 898/12, Olomouc</t>
  </si>
  <si>
    <t>https://www.facebook.com/los.bastardos.olomouc</t>
  </si>
  <si>
    <t>https://goo.gl/vKSybh</t>
  </si>
  <si>
    <t>N 49°35.831' E 17°15.929'</t>
  </si>
  <si>
    <t>Los v Oslu</t>
  </si>
  <si>
    <t>Perunova 804/17, Praha 3 - Vinohrady</t>
  </si>
  <si>
    <t>Sibeeria, various</t>
  </si>
  <si>
    <t>http://www.losvoslu.cz</t>
  </si>
  <si>
    <t>https://www.facebook.com/Pivniklub</t>
  </si>
  <si>
    <t>https://goo.gl/Uq2wVG</t>
  </si>
  <si>
    <t>belgická piva</t>
  </si>
  <si>
    <t>N 50°4.621' E 14°27.214'</t>
  </si>
  <si>
    <t>bratří Čapků 95/8, Brno-střed - Veveří</t>
  </si>
  <si>
    <t>http://lb-beerhouse.cz</t>
  </si>
  <si>
    <t>https://www.facebook.com/lbbeerhouse</t>
  </si>
  <si>
    <t>N 49°11.93370'. E 16°35.47030'</t>
  </si>
  <si>
    <t>Malešický mikropivovar</t>
  </si>
  <si>
    <t>Malešický</t>
  </si>
  <si>
    <t>Praha - Malešice</t>
  </si>
  <si>
    <t>Malešická 126/50, Praha 10 - Malešice</t>
  </si>
  <si>
    <t>http://www.malesickymikropivovar.cz</t>
  </si>
  <si>
    <t>https://www.facebook.com/malesickypivovar</t>
  </si>
  <si>
    <t>https://goo.gl/p1RA2S</t>
  </si>
  <si>
    <t>Domovský podnik Malešického létajícího pivovaru; multipípa</t>
  </si>
  <si>
    <t>Malešický, různá</t>
  </si>
  <si>
    <t>https://flic.kr/s/aHsm9usi1E</t>
  </si>
  <si>
    <t>N 50°5.07882'. E 14°30.45845'</t>
  </si>
  <si>
    <t>Malibu bar</t>
  </si>
  <si>
    <t>Nádražní 55, Klatovy - Klatovy III</t>
  </si>
  <si>
    <t>https://www.facebook.com/www.malibubarklatovy.cz</t>
  </si>
  <si>
    <t>https://goo.gl/GXkHaH</t>
  </si>
  <si>
    <t>N 49°23.82542'. E 13°17.29140'</t>
  </si>
  <si>
    <t>Malý růžek</t>
  </si>
  <si>
    <t>Škroupova 726/13, Hradec Králové</t>
  </si>
  <si>
    <t>https://www.facebook.com/maly.ruzek</t>
  </si>
  <si>
    <t>https://goo.gl/5ETbhU</t>
  </si>
  <si>
    <t>N 50°12.89252'. E 15°49.46633'</t>
  </si>
  <si>
    <t>Maxmilián u Mincovny</t>
  </si>
  <si>
    <t>Na Sladovnách 1576/1, Kroměříž</t>
  </si>
  <si>
    <t>http://www.restauracemaxmilian.cz</t>
  </si>
  <si>
    <t>https://www.facebook.com/restauracemaxmilian</t>
  </si>
  <si>
    <t>N 49°18.07890'. E 17°23.36432'</t>
  </si>
  <si>
    <t>MaxWilliam</t>
  </si>
  <si>
    <t>U Brány 435/1, Znojmo</t>
  </si>
  <si>
    <t>http://www.hospudkaubrany.cz</t>
  </si>
  <si>
    <t>https://www.facebook.com/Maxwilliamcz</t>
  </si>
  <si>
    <t>N 48°51.26633'. E 16°2.92208'</t>
  </si>
  <si>
    <t>Minipivovarská pivnice</t>
  </si>
  <si>
    <t>Velkomoravská 463/21, Hodonín</t>
  </si>
  <si>
    <t>https://www.facebook.com/Restaurace-u-Pošty-Stará-Budvarka-164014447113000</t>
  </si>
  <si>
    <t>https://goo.gl/GHdTcj</t>
  </si>
  <si>
    <t>N 48°51.069' E 17°7.381'</t>
  </si>
  <si>
    <t>Da-da-lie</t>
  </si>
  <si>
    <t>Ráby</t>
  </si>
  <si>
    <t>Ráby 30, Ráby</t>
  </si>
  <si>
    <t>http://www.dadalieclub.cz</t>
  </si>
  <si>
    <t>https://goo.gl/T3kaEd</t>
  </si>
  <si>
    <t>N 50°4.26335', E 15°48.12743'</t>
  </si>
  <si>
    <t>Za Mlýnem 602/2, Přerov - Přerov I-Město</t>
  </si>
  <si>
    <t>http://www.pivnicemlyn.cz</t>
  </si>
  <si>
    <t>https://www.facebook.com/PivniceMlyn</t>
  </si>
  <si>
    <t>https://goo.gl/jaQZUe</t>
  </si>
  <si>
    <t>piva z menších průmyslových pivovarů</t>
  </si>
  <si>
    <t>N 49°27.461' E 17°27.015'</t>
  </si>
  <si>
    <t>Na Farských</t>
  </si>
  <si>
    <t>Zahradní 387/2, Žďár nad Sázavou - Žďár nad Sázavou 1</t>
  </si>
  <si>
    <t>http://www.rebelnafarskych.cz</t>
  </si>
  <si>
    <t>https://www.facebook.com/RebelNaFarskych</t>
  </si>
  <si>
    <t>various belgická</t>
  </si>
  <si>
    <t>N 49°33.74335'. E 15°56.24588'</t>
  </si>
  <si>
    <t>Na hřišti</t>
  </si>
  <si>
    <t>Luční 381, Dolní Bukovsko</t>
  </si>
  <si>
    <t>https://www.facebook.com/sportbarDB</t>
  </si>
  <si>
    <t>N 49°10.18253'. E 14°35.08048'</t>
  </si>
  <si>
    <t>Na Hřišti</t>
  </si>
  <si>
    <t>Ke Stadionu 67, Broumy</t>
  </si>
  <si>
    <t>N 49°57.22218'. E 13°51.21687'</t>
  </si>
  <si>
    <t>Borová 510/30, Brno-sever - Soběšice</t>
  </si>
  <si>
    <t>http://www.sobesicke-pivo.cz</t>
  </si>
  <si>
    <t>N 49°15.40178'. E 16°37.03770'</t>
  </si>
  <si>
    <t>Na Krétě</t>
  </si>
  <si>
    <t>Prachňanská 88/2, Kutná Hora - Hlouška</t>
  </si>
  <si>
    <t>http://www.hotelkreta.cz</t>
  </si>
  <si>
    <t>https://www.facebook.com/Hotel-Kr%C3%A9taKutn%C3%A1-Hora-56317468650</t>
  </si>
  <si>
    <t>N 49°57.33485'. E 15°16.22127'</t>
  </si>
  <si>
    <t>Na Parkánu</t>
  </si>
  <si>
    <t>Veleslavínova 59/4, Plzeň 3 - Vnitřní Město</t>
  </si>
  <si>
    <t>http://www.naparkanu.com</t>
  </si>
  <si>
    <t>https://www.facebook.com/SenkNaParkanu</t>
  </si>
  <si>
    <t>N 49°44.92218', E 13°22.85093'</t>
  </si>
  <si>
    <t>Na Pramenné</t>
  </si>
  <si>
    <t>Srnčí 190, Albrechtice</t>
  </si>
  <si>
    <t>N 49°47.45010'. E 18°30.17833'</t>
  </si>
  <si>
    <t>Na Spilce</t>
  </si>
  <si>
    <t>http://www.naspilce.com</t>
  </si>
  <si>
    <t>https://www.facebook.com/RestauraceNaSpilce</t>
  </si>
  <si>
    <t>N 49°44.86222'. E 13°23.30308'</t>
  </si>
  <si>
    <t>Na Srubu</t>
  </si>
  <si>
    <t>Osvětimany</t>
  </si>
  <si>
    <t>Osvětimany 195, Osvětimany</t>
  </si>
  <si>
    <t>http://www.hospodanasrubu.cz</t>
  </si>
  <si>
    <t>N 49°4.17947'. E 17°15.18740'</t>
  </si>
  <si>
    <t>Na statku</t>
  </si>
  <si>
    <t>Zámecký obvod 29, Březnice</t>
  </si>
  <si>
    <t>http://www.nastatku.cz</t>
  </si>
  <si>
    <t>https://www.facebook.com/nastatkubreznice</t>
  </si>
  <si>
    <t>N 49°33.45623'. E 13°57.43917'</t>
  </si>
  <si>
    <t>Na Šrébráku</t>
  </si>
  <si>
    <t>Jugoslávská 599/34, Brno-sever - Černá Pole</t>
  </si>
  <si>
    <t>https://www.facebook.com/PivniceNaSrebraku</t>
  </si>
  <si>
    <t>https://goo.gl/jwdNG1</t>
  </si>
  <si>
    <t>N 49°12.36877'. E 16°37.35370'</t>
  </si>
  <si>
    <t>Napalmě</t>
  </si>
  <si>
    <t>Zenklova 252/13, Praha 8 - Libeň</t>
  </si>
  <si>
    <t>http://www.napalme.cz</t>
  </si>
  <si>
    <t>https://www.facebook.com/barnapalme</t>
  </si>
  <si>
    <t>https://goo.gl/JpwSh8</t>
  </si>
  <si>
    <t>N 50°6.24613', E 14°28.38508'</t>
  </si>
  <si>
    <t>Naše hospoda Merkur</t>
  </si>
  <si>
    <t>Heydukova 374/2, Praha 8 - Libeň</t>
  </si>
  <si>
    <t>http://www.restauracemerkur.cz</t>
  </si>
  <si>
    <t>https://www.facebook.com/restauracemerkur.cz</t>
  </si>
  <si>
    <t>N 50°6.16155', E 14°28.57050'</t>
  </si>
  <si>
    <t>Naše hospoda Myslivna</t>
  </si>
  <si>
    <t>Jindřišská 276, Pardubice I - Zelené Předměstí</t>
  </si>
  <si>
    <t>http://www.myslivna-pce.cz</t>
  </si>
  <si>
    <t>https://www.facebook.com/myslivna.pce</t>
  </si>
  <si>
    <t>N 50°2.09030', E 15°46.65593'</t>
  </si>
  <si>
    <t>Naše hospoda Na Růžku</t>
  </si>
  <si>
    <t>Nádražní 1301/24, Praha 5 - Smíchov</t>
  </si>
  <si>
    <t>http://www.naruzkusmichov.cz</t>
  </si>
  <si>
    <t>https://www.facebook.com/Naše-Hospoda-Na-Růžku-833860779976286</t>
  </si>
  <si>
    <t>N 50°3.61862', E 14°24.57660'</t>
  </si>
  <si>
    <t>Naše Hospoda U Baumanů</t>
  </si>
  <si>
    <t>Bělehradská 573/61, Praha 2 - Vinohrady</t>
  </si>
  <si>
    <t>http://www.nasehospodaubaumanu.cz</t>
  </si>
  <si>
    <t>https://www.facebook.com/nasehospodaubaumanu</t>
  </si>
  <si>
    <t>N 50°4.35063', E 14°25.99778'</t>
  </si>
  <si>
    <t>Naše hospoda U Pilňáčka</t>
  </si>
  <si>
    <t>Pospíšilova 281/18, Hradec Králové</t>
  </si>
  <si>
    <t>http://www.u-pilnacka.cz</t>
  </si>
  <si>
    <t>https://www.facebook.com/U-Pilnáčka-Naše-Hospoda-581048498670716</t>
  </si>
  <si>
    <t>N 50°12.87192', E 15°50.71215'</t>
  </si>
  <si>
    <t>Naše hospoda Zlatá Husa</t>
  </si>
  <si>
    <t>Jindřichův Hradec </t>
  </si>
  <si>
    <t>nám. Míru 142, Jindřichův Hradec - Jindřichův Hradec I</t>
  </si>
  <si>
    <t>http://www.concertino.cz</t>
  </si>
  <si>
    <t>https://cs-cz.facebook.com/ZlataHusaNaseHospoda</t>
  </si>
  <si>
    <t>N 49°8.63917', E 15°0.22918'</t>
  </si>
  <si>
    <t>Naše hospoda Zlín</t>
  </si>
  <si>
    <t>Na Honech I 5541, Zlín</t>
  </si>
  <si>
    <t>http://nasehospodazlin.cz</t>
  </si>
  <si>
    <t>https://www.facebook.com/nasehospodazlin</t>
  </si>
  <si>
    <t>N 49°14.14972', E 17°40.20728'</t>
  </si>
  <si>
    <t>Nekonečno</t>
  </si>
  <si>
    <t>Lidická 1862/14, Brno-střed - Černá Pole</t>
  </si>
  <si>
    <t>http://www.nekonecnorestaurant.cz</t>
  </si>
  <si>
    <t>https://www.facebook.com/restauracenekonecno</t>
  </si>
  <si>
    <t>https://goo.gl/6aSBh8</t>
  </si>
  <si>
    <t>N 49°12.07817'. E 16°36.47013'</t>
  </si>
  <si>
    <t>náměstí Míru 27/13, Mělník</t>
  </si>
  <si>
    <t>http://www.nemymedved.cz</t>
  </si>
  <si>
    <t>https://www.facebook.com/nemymedved</t>
  </si>
  <si>
    <t>Němý Medvěd, různá</t>
  </si>
  <si>
    <t>N 50°21.09203'. E 14°28.46605'</t>
  </si>
  <si>
    <t>Malý / Velký</t>
  </si>
  <si>
    <t>Falkon</t>
  </si>
  <si>
    <t>http://www.malyvelky.cz</t>
  </si>
  <si>
    <t>https://www.facebook.com/barmalyvelky</t>
  </si>
  <si>
    <t>https://goo.gl/u2XxUC</t>
  </si>
  <si>
    <t>Domovský podnik létajícího pivovaru Falkon; bývalý Nota Bene Beerpoint</t>
  </si>
  <si>
    <t>Nová Veslovka</t>
  </si>
  <si>
    <t>U Přívozu 1840, Brandýs nad Labem-Stará Boleslav - Brandýs nad Labem</t>
  </si>
  <si>
    <t>https://www.facebook.com/veslovka</t>
  </si>
  <si>
    <t>https://goo.gl/yx1jjT</t>
  </si>
  <si>
    <t>N 50°10.98213'. E 14°40.71760'</t>
  </si>
  <si>
    <t>Novoříšská pivnice</t>
  </si>
  <si>
    <t>Masarykovo náměstí 1211/48, Jihlava</t>
  </si>
  <si>
    <t>https://www.facebook.com/novorisska.pivnice</t>
  </si>
  <si>
    <t>Baran, various</t>
  </si>
  <si>
    <t>N 49°23.74365'. E 15°35.35540'</t>
  </si>
  <si>
    <t>https://flic.kr/s/aHsmo3CYQs</t>
  </si>
  <si>
    <t>Ochutnávková pivnice</t>
  </si>
  <si>
    <t>Lidická 1860/10, Brno-střed - Černá Pole</t>
  </si>
  <si>
    <t>http://www.ochutnavkovapivnice.cz/</t>
  </si>
  <si>
    <t>https://www.facebook.com/groups/ochutnavkovapivnice</t>
  </si>
  <si>
    <t>https://goo.gl/qvcvxC</t>
  </si>
  <si>
    <t>N 49°12.056' E 16°36.475'</t>
  </si>
  <si>
    <t>Ostravarna na Fifejdách</t>
  </si>
  <si>
    <t>Ahepjukova 3102/2a, Ostrava - Moravská Ostrava a Přívoz</t>
  </si>
  <si>
    <t>http://www.restaurace-ostravarna-fifejdy.cz</t>
  </si>
  <si>
    <t>https://www.facebook.com/ostravarnafifejdy</t>
  </si>
  <si>
    <t>N 49°50.21967'. E 18°15.73055'</t>
  </si>
  <si>
    <t>Ostravarna U Jubilejní</t>
  </si>
  <si>
    <t>Hasičská 551/52, Ostrava-Jih - Hrabůvka</t>
  </si>
  <si>
    <t>http://www.jubilejni.cz</t>
  </si>
  <si>
    <t>https://www.facebook.com/OstravarnaUJubilejni</t>
  </si>
  <si>
    <t>N 49°47.54183'. E 18°15.59722'</t>
  </si>
  <si>
    <t>Pivečka, various</t>
  </si>
  <si>
    <t>Ostravarna U Zlatého Kříže</t>
  </si>
  <si>
    <t>Krnovská 77/33, Opava - Předměstí</t>
  </si>
  <si>
    <t>https://www.facebook.com/uzlatehokrize</t>
  </si>
  <si>
    <t>N 49°56.53600'. E 17°53.61890'</t>
  </si>
  <si>
    <t>Ostrý</t>
  </si>
  <si>
    <t>Sladkovského náměstí 302/5, Praha 3 - Žižkov</t>
  </si>
  <si>
    <t>http://www.aldersbacher.cz/pivni-lokal-ostry</t>
  </si>
  <si>
    <t>https://www.facebook.com/Pivn%C3%AD-lok%C3%A1l-Ostr%C3%BD-400164153391664</t>
  </si>
  <si>
    <t>https://goo.gl/YfLJbx</t>
  </si>
  <si>
    <t>Aldersbacher, různá</t>
  </si>
  <si>
    <t>N 50°5.06562', E 14°27.05842'</t>
  </si>
  <si>
    <t>Náměstí 30, Vyšší Brod</t>
  </si>
  <si>
    <t>http://www.vysebrodskypivovar.cz</t>
  </si>
  <si>
    <t>N 48°36.95548'. E 14°18.75850'</t>
  </si>
  <si>
    <t>Parodie</t>
  </si>
  <si>
    <t>Vachova 44/8, Brno-střed - Brno-město</t>
  </si>
  <si>
    <t>https://www.facebook.com/Parodie-345647825601436</t>
  </si>
  <si>
    <t>https://goo.gl/TcgzWt</t>
  </si>
  <si>
    <t>N 49°11.75597'. E 16°36.70298'</t>
  </si>
  <si>
    <t>Penzion Marie</t>
  </si>
  <si>
    <t>Žumberk 24, Žár - Žumberk</t>
  </si>
  <si>
    <t>http://www.zumberk.com</t>
  </si>
  <si>
    <t>N 48°47.75707'. E 14°40.92578'</t>
  </si>
  <si>
    <t>Permoník</t>
  </si>
  <si>
    <t>Sobotín 53, Sobotín</t>
  </si>
  <si>
    <t>http://www.motorestpermonik.cz</t>
  </si>
  <si>
    <t>N 50°0.96633'. E 17°4.86145'</t>
  </si>
  <si>
    <t>Pivní a cider klub Lidový dům</t>
  </si>
  <si>
    <t>Starý Plzenec</t>
  </si>
  <si>
    <t>Raisova 2, Starý Plzenec</t>
  </si>
  <si>
    <t>http://akce-lidovy-dum-stary-plzenec.webnode.cz</t>
  </si>
  <si>
    <t>https://www.facebook.com/lidovydumstaryplzenec</t>
  </si>
  <si>
    <t>N 49°42.16428'. E 13°28.22942'</t>
  </si>
  <si>
    <t>Pivní Ambasáda</t>
  </si>
  <si>
    <t>Smilova 335, Pardubice I - Zelené Předměstí</t>
  </si>
  <si>
    <t>https://www.pivniambasada.cz</t>
  </si>
  <si>
    <t>https://www.facebook.com/pivniambasada</t>
  </si>
  <si>
    <t>https://goo.gl/bpiKqk</t>
  </si>
  <si>
    <t>N 50°2.06063'. E 15°46.29135'</t>
  </si>
  <si>
    <t>Pivní Ráj - Jihlavská Hospoda</t>
  </si>
  <si>
    <t>Tolstého 1455/2, Jihlava</t>
  </si>
  <si>
    <t>https://pivniraj.com/</t>
  </si>
  <si>
    <t>https://www.facebook.com/pivnirajjihlava</t>
  </si>
  <si>
    <t>https://goo.gl/geDZPm</t>
  </si>
  <si>
    <t>Rudolf III. (?), různá</t>
  </si>
  <si>
    <t>N 49°24.01360'. E 15°35.26342'</t>
  </si>
  <si>
    <t>Pivní rozmanitost</t>
  </si>
  <si>
    <t>Koněvova 1819/133, Praha 3 - Žižkov</t>
  </si>
  <si>
    <t>https://www.facebook.com/pg/pivotekapivnirozmanitost</t>
  </si>
  <si>
    <t>https://goo.gl/gTw9Rz</t>
  </si>
  <si>
    <t>pivotéka; multipípa</t>
  </si>
  <si>
    <t>N 50°5.49638'. E 14°28.41957'</t>
  </si>
  <si>
    <t>Pivní salon</t>
  </si>
  <si>
    <t>Velké náměstí 17/27, Hradec Králové</t>
  </si>
  <si>
    <t>http://pivnisalonhk.cz</t>
  </si>
  <si>
    <t>https://www.facebook.com/pivnisalon</t>
  </si>
  <si>
    <t>https://goo.gl/hYFAvd</t>
  </si>
  <si>
    <t>N 50°12.58438'. E 15°50.14113'</t>
  </si>
  <si>
    <t>Pivní sklep U Grizzlyho</t>
  </si>
  <si>
    <t>Panský mlýn</t>
  </si>
  <si>
    <t>Na Rybníčku 750/16, Opava - Předměstí</t>
  </si>
  <si>
    <t>https://www.facebook.com/Pivn%C3%AD-sklep-U-Grizzlyho-1646383918965245</t>
  </si>
  <si>
    <t>N 49°56.26678'. E 17°53.78092'</t>
  </si>
  <si>
    <t>Pivnice Kozlovna</t>
  </si>
  <si>
    <t>Nádražní 1399, Bystřice nad Pernštejnem</t>
  </si>
  <si>
    <t>http://www.ala-gastro.cz/kozlovna</t>
  </si>
  <si>
    <t>https://www.facebook.com/Pivnice-Kozlovna-107263172686292</t>
  </si>
  <si>
    <t>N 49°31.10455', E 16°15.58152'</t>
  </si>
  <si>
    <t>Pivnice Letohradský Jelen</t>
  </si>
  <si>
    <t>Letohrad</t>
  </si>
  <si>
    <t>Komenského 199, Letohrad</t>
  </si>
  <si>
    <t>https://www.facebook.com/pg/Letohradský-jelen-679213548926359</t>
  </si>
  <si>
    <t>N 50°2.19167'. E 16°29.75910'</t>
  </si>
  <si>
    <t>Pivnice Lidový dům</t>
  </si>
  <si>
    <t>Masarykovo náměstí 133, Rokycany - Střed</t>
  </si>
  <si>
    <t>http://www.pivnicelidovydum.cz</t>
  </si>
  <si>
    <t>https://www.facebook.com/pivnicelidovydum</t>
  </si>
  <si>
    <t>N 49°44.52723'. E 13°35.74555'</t>
  </si>
  <si>
    <t>Pivomat</t>
  </si>
  <si>
    <t>Uhřínovice</t>
  </si>
  <si>
    <t>Uhřínovice 1, Brtnice - Uhřínovice</t>
  </si>
  <si>
    <t>samovýčep - od června 2017 jen nealko?</t>
  </si>
  <si>
    <t>N 49°19.08365'. E 15°38.82818'</t>
  </si>
  <si>
    <t>Pivotečka</t>
  </si>
  <si>
    <t>Rooseveltova 76/4, Plzeň 3 - Vnitřní Město</t>
  </si>
  <si>
    <t>https://www.facebook.com/pivotecka</t>
  </si>
  <si>
    <t>https://goo.gl/n197kd</t>
  </si>
  <si>
    <t>Pivoztečky (?), různá</t>
  </si>
  <si>
    <t>N 49°44.89860'. E 13°22.74122'</t>
  </si>
  <si>
    <t>Pivotéka</t>
  </si>
  <si>
    <t>Havířov - Šumbark</t>
  </si>
  <si>
    <t>Šenovská 669/1, Havířov - Šumbark</t>
  </si>
  <si>
    <t>https://www.pivotekahavirov.cz</t>
  </si>
  <si>
    <t>https://www.facebook.com/pivotekahavirov</t>
  </si>
  <si>
    <t>https://goo.gl/5oTxno</t>
  </si>
  <si>
    <t>pivotéka; obchod s pivovarskými potřebami</t>
  </si>
  <si>
    <t>Beskydské, Koníček</t>
  </si>
  <si>
    <t>N 49°47.49417'. E 18°24.32447'</t>
  </si>
  <si>
    <t>https://flic.kr/s/aHsmtooo8R</t>
  </si>
  <si>
    <t>Pivotéka Liberec</t>
  </si>
  <si>
    <t>Široká 166/16, Liberec II - Nové Město</t>
  </si>
  <si>
    <t>https://www.facebook.com/Pivotéka-Liberec-913170098757161</t>
  </si>
  <si>
    <t>N 50°46.10063'. E 15°3.25318'</t>
  </si>
  <si>
    <t>Pivovarská</t>
  </si>
  <si>
    <t>Zábřežská 265, Hanušovice</t>
  </si>
  <si>
    <t>http://www.pivovarskemuzeum.cz/pivovarska-restaurace</t>
  </si>
  <si>
    <t>N 50°4.10703'. E 16°55.65587'</t>
  </si>
  <si>
    <t>http://www.pivovar-jihlava.cz/pivovarska-restaurace</t>
  </si>
  <si>
    <t>N 49°23.83162'. E 15°34.97430'</t>
  </si>
  <si>
    <t>Pivovarská 162, Liberec XXX - Vratislavice nad Nisou</t>
  </si>
  <si>
    <t>http://pivo-konrad.cz/o-nas/pivovarska-hospoda</t>
  </si>
  <si>
    <t>N 50°45.03798'. E 15°5.19040'</t>
  </si>
  <si>
    <t>N 49°41.69310'. E 17°4.44202'</t>
  </si>
  <si>
    <t>Pivovarka</t>
  </si>
  <si>
    <t>http://www.pivovarka.cz</t>
  </si>
  <si>
    <t>https://www.facebook.com/Pivovarka-424584000950790</t>
  </si>
  <si>
    <t>N 50°2.130'. E 15°45.723'</t>
  </si>
  <si>
    <t>http://pivorohozec.cz/restaurace</t>
  </si>
  <si>
    <t>N 50°36.62567'. E 15°8.92182'</t>
  </si>
  <si>
    <t>Mendlovo náměstí 158/20, Brno-střed - Staré Brno</t>
  </si>
  <si>
    <t>http://pivovarskastarobrno.cz</t>
  </si>
  <si>
    <t>https://www.facebook.com/pivovarskabrno</t>
  </si>
  <si>
    <t>N 49°11.45797'. E 16°35.56618'</t>
  </si>
  <si>
    <t>http://www.restauracesvijany.cz</t>
  </si>
  <si>
    <t>N 50°34.39225'. E 15°3.25607'</t>
  </si>
  <si>
    <t>Pivovarská brána</t>
  </si>
  <si>
    <t>V Kopečku 83/5, Hradec Králové</t>
  </si>
  <si>
    <t>http://www.pivovarskabrana.cz/</t>
  </si>
  <si>
    <t>https://www.facebook.com/pages/Pivovarská-brána/627828090566193</t>
  </si>
  <si>
    <t>https://goo.gl/E1P8bU</t>
  </si>
  <si>
    <t>Gočár, Kotěra (Břevnovský), různá</t>
  </si>
  <si>
    <t>N 50°12.619' E 15°49.859'</t>
  </si>
  <si>
    <t>Kounická hospoda</t>
  </si>
  <si>
    <t>Kounice 112, Kounice</t>
  </si>
  <si>
    <t>http://www.pivovarnicka.cz</t>
  </si>
  <si>
    <t>N 50°6.52940'. E 14°51.24265'</t>
  </si>
  <si>
    <t>Pivovarská hospůdka Mačák</t>
  </si>
  <si>
    <t>Schweitzerova 738/95, Olomouc - Nové Sady</t>
  </si>
  <si>
    <t>N 49°34.56623'. E 17°14.91897'</t>
  </si>
  <si>
    <t>Sídliště 597, Radnice</t>
  </si>
  <si>
    <t>https://www.facebook.com/pivovarskapivniceminipivovaruradnice</t>
  </si>
  <si>
    <t>N 49°51.44270'. E 13°36.08095'</t>
  </si>
  <si>
    <t>K sokolovně 38/10, Praha 22 - Uhříněves</t>
  </si>
  <si>
    <t>http://www.restaurantpivovarska.cz</t>
  </si>
  <si>
    <t>https://www.facebook.com/PivovarskaRestaurace</t>
  </si>
  <si>
    <t>N 50°1.78135'. E 14°36.31185'</t>
  </si>
  <si>
    <t>Pivovarské sklepy</t>
  </si>
  <si>
    <t>Hradec nad Moravicí</t>
  </si>
  <si>
    <t>Pivovarské sklepy, Hradec nad Moravicí</t>
  </si>
  <si>
    <t>https://www.facebook.com/Pivovarské-sklepy-562730577088897</t>
  </si>
  <si>
    <t>https://goo.gl/b6wQKt</t>
  </si>
  <si>
    <t>N 49°52.01512'. E 17°52.36325'</t>
  </si>
  <si>
    <t>Pivovarský bar Zbrojnice</t>
  </si>
  <si>
    <t>http://www.ceskyregent.cz/c-27-pivovarsky-sklep-zbrojnice.html</t>
  </si>
  <si>
    <t>N 49°0.15777'. E 14°46.33750'</t>
  </si>
  <si>
    <t>Pivovarský hostinec</t>
  </si>
  <si>
    <t>Rýznerova 19/5, Únětice</t>
  </si>
  <si>
    <t>http://www.unetickypivovar.cz</t>
  </si>
  <si>
    <t>https://www.facebook.com/Únětický-pivovar-186598138044813</t>
  </si>
  <si>
    <t>N 50°8.94763', E 14°21.26148'</t>
  </si>
  <si>
    <t>Pivovarský Klub</t>
  </si>
  <si>
    <t>Křižíkova 272/17, Praha 8 - Karlín</t>
  </si>
  <si>
    <t>http://www.pivovarskyklub.com</t>
  </si>
  <si>
    <t>https://www.facebook.com/pivovarskyklub</t>
  </si>
  <si>
    <t>N 50°5.43443'. E 14°26.48998'</t>
  </si>
  <si>
    <t>Pivstro - Brewhemian Beer Bistro</t>
  </si>
  <si>
    <t>Bezručova 185/31, Plzeň 3 - Vnitřní Město</t>
  </si>
  <si>
    <t>http://brewhemian.eu/cs/pivstro-brewhemian-beer-bistro</t>
  </si>
  <si>
    <t>https://www.facebook.com/Pivstro</t>
  </si>
  <si>
    <t>https://goo.gl/6P17TW</t>
  </si>
  <si>
    <t>N 49°44.74092'. E 13°22.46525'</t>
  </si>
  <si>
    <t>Poctivej výčep</t>
  </si>
  <si>
    <t>Třeboradická 478/19, Praha 8 - Kobylisy</t>
  </si>
  <si>
    <t>http://poctivejvycep.webnode.cz</t>
  </si>
  <si>
    <t>https://www.facebook.com/Poctivej-Výčep-1550072958575505</t>
  </si>
  <si>
    <t>https://goo.gl/wtZk3f</t>
  </si>
  <si>
    <t>N 50°7.60705'. E 14°26.85295'</t>
  </si>
  <si>
    <t>Pod Jasanem</t>
  </si>
  <si>
    <t>Kamenný Újezd 18, Kamenný Újezd</t>
  </si>
  <si>
    <t>https://www.facebook.com/pages/Restaurace-Pod-Jasanem/223854207703770</t>
  </si>
  <si>
    <t>N 49°43.43167'. E 13°37.37838'</t>
  </si>
  <si>
    <t>Pod obrazem</t>
  </si>
  <si>
    <t>Zámecké náměstí 1/13, Krnov - Pod Bezručovým vrchem</t>
  </si>
  <si>
    <t>https://www.facebook.com/podobrazem</t>
  </si>
  <si>
    <t>N 50°5.34073'. E 17°42.04833'</t>
  </si>
  <si>
    <t>Primátorka Pod Terasami</t>
  </si>
  <si>
    <t>Opletalova 328/3, Hradec Králové</t>
  </si>
  <si>
    <t>http://www.podterasami.cz</t>
  </si>
  <si>
    <t>https://www.facebook.com/podterasami</t>
  </si>
  <si>
    <t>N 50°12.74943'. E 15°50.11872'</t>
  </si>
  <si>
    <t>Pod Zámkem</t>
  </si>
  <si>
    <t>Břeclavský</t>
  </si>
  <si>
    <t>Pod Zámkem 3481/4, Břeclav</t>
  </si>
  <si>
    <t>http://www.facebook.com/Letni-zahradka-U-Kapra-114648325292748</t>
  </si>
  <si>
    <t>Břeclavský, Frankies</t>
  </si>
  <si>
    <t>N 48°45.62563'. E 16°52.53695'</t>
  </si>
  <si>
    <t>Potrefená husa Na Verandách</t>
  </si>
  <si>
    <t>http://www.phnaverandach.cz</t>
  </si>
  <si>
    <t>https://www.facebook.com/PHNaVerandach</t>
  </si>
  <si>
    <t>N 50°4.11270'. E 14°24.39323'</t>
  </si>
  <si>
    <t>Prague Beer Museum - Náměstí míru</t>
  </si>
  <si>
    <t>Buddy's (?), various</t>
  </si>
  <si>
    <t>Americká 341/43, Praha 2 - Vinohrady</t>
  </si>
  <si>
    <t>http://www.praguebeermuseum.com</t>
  </si>
  <si>
    <t>https://goo.gl/BJrexZ</t>
  </si>
  <si>
    <t>N 50°4.46728'. E 14°26.18738'</t>
  </si>
  <si>
    <t>Prague Beer Museum - Smetanovo Nábřeží</t>
  </si>
  <si>
    <t>Smetanovo nábřeží 205/22, Praha 1 - Staré Město</t>
  </si>
  <si>
    <t>https://www.facebook.com/BeerMuseum</t>
  </si>
  <si>
    <t>N 50°5.10068'. E 14°24.83910'</t>
  </si>
  <si>
    <t>První Doubravnická</t>
  </si>
  <si>
    <t>Milady Horákové 1920/1a, Brno-střed - Černá Pole</t>
  </si>
  <si>
    <t>https://www.prvnidoubravnicka.cz</t>
  </si>
  <si>
    <t>https://www.facebook.com/1doubravnickarestaurace</t>
  </si>
  <si>
    <t>N 49°12.00137'. E 16°36.63707'</t>
  </si>
  <si>
    <t>První Pivní Tramway</t>
  </si>
  <si>
    <t>Praha - Spořilov</t>
  </si>
  <si>
    <t>Na Chodovci 3268/1a, Praha 4 - Záběhlice</t>
  </si>
  <si>
    <t>http://www.prvnipivnitramway.cz/</t>
  </si>
  <si>
    <t>https://www.facebook.com/prvnipivnitramway</t>
  </si>
  <si>
    <t>https://goo.gl/7M2UNj</t>
  </si>
  <si>
    <t>N 50°3.030' E 14°28.916'</t>
  </si>
  <si>
    <t>Radasův šenk</t>
  </si>
  <si>
    <t>Třanovice</t>
  </si>
  <si>
    <t>Třanovice 294, Třanovice</t>
  </si>
  <si>
    <t>https://www.facebook.com/radasuvsenk</t>
  </si>
  <si>
    <t>N 49°42.63547'. E 18°31.82807'</t>
  </si>
  <si>
    <t>Radegastovna Červená Sedma</t>
  </si>
  <si>
    <t>Stavbařů 2203/38, Karviná - Mizerov</t>
  </si>
  <si>
    <t>https://www.facebook.com/pg/Radegastovna-Červená-Sedma-1116318841734521</t>
  </si>
  <si>
    <t>N 49°51.58035'. E 18°33.43617'</t>
  </si>
  <si>
    <t>Radegastovna Jitřenka</t>
  </si>
  <si>
    <t>Dlouhá třída 1043/59a, Havířov - Město</t>
  </si>
  <si>
    <t>http://www.radegastovna.cz/jitrenka</t>
  </si>
  <si>
    <t>N 49°46.67048'. E 18°26.57445'</t>
  </si>
  <si>
    <t>Radegastovna Kavárna</t>
  </si>
  <si>
    <t>Školní 889/4, Kopřivnice</t>
  </si>
  <si>
    <t>http://www.radegastovna.cz/koprivnice</t>
  </si>
  <si>
    <t>https://www.facebook.com/vkavarne</t>
  </si>
  <si>
    <t>N 49°36.06932'. E 18°8.37313'</t>
  </si>
  <si>
    <t>Radegastovna Na náměstí</t>
  </si>
  <si>
    <t>Masarykovo náměstí 24/13, Ostrava - Moravská Ostrava a Přívoz</t>
  </si>
  <si>
    <t>http://www.radegastovnananamesti.cz</t>
  </si>
  <si>
    <t>https://www.facebook.com/radegastovnaostrava</t>
  </si>
  <si>
    <t>N 49°50.17150'. E 18°17.59548'</t>
  </si>
  <si>
    <t>Radegastovna Partyka</t>
  </si>
  <si>
    <t>Hlavní třída 140/3, Český Těšín</t>
  </si>
  <si>
    <t>http://www.radegastovna.cz/partyka</t>
  </si>
  <si>
    <t>https://www.facebook.com/radegastovna.partyka</t>
  </si>
  <si>
    <t>N 49°44.88727'. E 18°37.52775'</t>
  </si>
  <si>
    <t>Radegastovna Perón</t>
  </si>
  <si>
    <t>Stroupežnického 525/20, Praha 5 - Smíchov</t>
  </si>
  <si>
    <t>http://peronsmichov.cz</t>
  </si>
  <si>
    <t>N 50°4.24313'. E 14°24.18712'</t>
  </si>
  <si>
    <t>Radegastovna Pod padákem</t>
  </si>
  <si>
    <t>Třinec - Lyžbice</t>
  </si>
  <si>
    <t>nám. Svobody 1274, Třinec - Lyžbice</t>
  </si>
  <si>
    <t>http://www.radegastovna.cz/pod-padakem</t>
  </si>
  <si>
    <t>N 49°40.08202', E 18°40.49630'</t>
  </si>
  <si>
    <t>Radegastovna Rex</t>
  </si>
  <si>
    <t>Okružní 4701, Zlín</t>
  </si>
  <si>
    <t>http://www.radegastovnazlin.cz</t>
  </si>
  <si>
    <t>https://www.facebook.com/RadegastovnaRex</t>
  </si>
  <si>
    <t>N 49°13.98737'. E 17°39.57760'</t>
  </si>
  <si>
    <t>Radegastovna Tankovna</t>
  </si>
  <si>
    <t>Růžový pahorek 549, Frýdek-Místek - Frýdek</t>
  </si>
  <si>
    <t>http://www.tankovnafm.cz</t>
  </si>
  <si>
    <t>https://www.facebook.com/TankovnaFM</t>
  </si>
  <si>
    <t>N 49°41.29697'. E 18°20.96812'</t>
  </si>
  <si>
    <t>Radegastovna U Křižánka</t>
  </si>
  <si>
    <t>Nádražní 1325/18, Ostrava - Moravská Ostrava a Přívoz</t>
  </si>
  <si>
    <t>http://ukrizanka.cz</t>
  </si>
  <si>
    <t>N 49°50.16473'. E 18°17.19583'</t>
  </si>
  <si>
    <t>Radegastovna U Lva</t>
  </si>
  <si>
    <t>Dolní náměstí 308, Vsetín</t>
  </si>
  <si>
    <t>http://www.radegastovna.cz/u-lva</t>
  </si>
  <si>
    <t>https://www.facebook.com/RadegastovnaULva</t>
  </si>
  <si>
    <t>N 49°20.40897'. E 17°59.61430'</t>
  </si>
  <si>
    <t>Radegastovna U Švejka</t>
  </si>
  <si>
    <t>Dukelská 993, Třinec - Lyžbice</t>
  </si>
  <si>
    <t>N 49°39.81722'. E 18°40.87813'</t>
  </si>
  <si>
    <t>Radegastovna Cheb</t>
  </si>
  <si>
    <t>Valdštejnova 1513/70, Cheb</t>
  </si>
  <si>
    <t>http://www.radegastovna.cz/cheb</t>
  </si>
  <si>
    <t>https://www.facebook.com/RadegastovnaCH</t>
  </si>
  <si>
    <t>N 50°4.21500', E 12°22.37865'</t>
  </si>
  <si>
    <t>Mírové náměstí 482/14, Jablonec nad Nisou</t>
  </si>
  <si>
    <t>http://www.r-radnice.cz</t>
  </si>
  <si>
    <t>https://www.facebook.com/rradnice</t>
  </si>
  <si>
    <t>N 50°43.43470'. E 15°10.31318'</t>
  </si>
  <si>
    <t>Radniční sklípek</t>
  </si>
  <si>
    <t>Kovářská 20/2, Kroměříž</t>
  </si>
  <si>
    <t>http://www.radnicnikm.cz/</t>
  </si>
  <si>
    <t>https://www.facebook.com/radnicni.sklipek</t>
  </si>
  <si>
    <t>https://goo.gl/HLQemj</t>
  </si>
  <si>
    <t>N 49°17.882'. E 17°23.561'</t>
  </si>
  <si>
    <t>nám. Dr. E. Beneše 1/1, Liberec I - Staré Město</t>
  </si>
  <si>
    <t>http://www.sklipekliberec.cz</t>
  </si>
  <si>
    <t>https://www.facebook.com/sklipekliberec</t>
  </si>
  <si>
    <t>N 50°46.19408'. E 15°3.52312'</t>
  </si>
  <si>
    <t>Hospoda Chudobín č.p. 70</t>
  </si>
  <si>
    <t>Chudobín</t>
  </si>
  <si>
    <t>Chudobín 70, Litovel - Chudobín</t>
  </si>
  <si>
    <t>N 49°41.33085'. E 17°2.18444'</t>
  </si>
  <si>
    <t>Hospoda Olbramice č.p. 1</t>
  </si>
  <si>
    <t>Olbramice</t>
  </si>
  <si>
    <t>Olbramice 1, Olbramice</t>
  </si>
  <si>
    <t>N 49°36.82020'. E 17°0.09138'</t>
  </si>
  <si>
    <t>Raková č.p. 45</t>
  </si>
  <si>
    <t>Raková</t>
  </si>
  <si>
    <t>Raková u Konice 45, Raková u Konice</t>
  </si>
  <si>
    <t>Jen PETky</t>
  </si>
  <si>
    <t>N 49°36.38950'. E 16°57.23984'</t>
  </si>
  <si>
    <t>Raková č.p. 116</t>
  </si>
  <si>
    <t>Raková u Konice 116, Raková u Konice</t>
  </si>
  <si>
    <t>N 49°36.39317'. E 16°57.30117'</t>
  </si>
  <si>
    <t>Rebel Na Rynku</t>
  </si>
  <si>
    <t>Havlíčkovo náměstí 51, Havlíčkův Brod</t>
  </si>
  <si>
    <t>http://www.rebelnarynku.cz</t>
  </si>
  <si>
    <t>https://www.facebook.com/Rebel-Na-Rynku-797393956984800</t>
  </si>
  <si>
    <t>N 49°36.42402'. E 15°34.71767'</t>
  </si>
  <si>
    <t>Regent Gold</t>
  </si>
  <si>
    <t>http://www.regentgold.cz</t>
  </si>
  <si>
    <t>https://www.facebook.com/Restaurace-Regent-Gold-559224954267769</t>
  </si>
  <si>
    <t>N 49°0.11387'. E 14°46.30765'</t>
  </si>
  <si>
    <t>Réna</t>
  </si>
  <si>
    <t>Na Réně 1434/10, Ivančice</t>
  </si>
  <si>
    <t>https://www.facebook.com/restauracerena</t>
  </si>
  <si>
    <t>otevřeno v sezóně</t>
  </si>
  <si>
    <t>N 49°5.86327', E 16°23.32935'</t>
  </si>
  <si>
    <t>Restaurace Pivovar</t>
  </si>
  <si>
    <t>Havlíčkova 377/2, Přerov I - Město</t>
  </si>
  <si>
    <t>http://www.restaurace-pivovar.cz</t>
  </si>
  <si>
    <t>https://www.facebook.com/Restaurace-ZUBR-200606489991259</t>
  </si>
  <si>
    <t>N 49°27.05567'. E 17°26.91353'</t>
  </si>
  <si>
    <t>https://www.facebook.com/Revolta-Beer-Cafe-133899066790351</t>
  </si>
  <si>
    <t>N 49°33.73558'. E 15°56.35958'</t>
  </si>
  <si>
    <t>Rock 'n' Roll Heaven</t>
  </si>
  <si>
    <t>Jiráskova 251/51, Brno-střed - Veveří</t>
  </si>
  <si>
    <t>https://www.facebook.com/rocknrollheavenbrno</t>
  </si>
  <si>
    <t>https://goo.gl/YZU9wP</t>
  </si>
  <si>
    <t>N 49°12.21713'. E 16°35.71492'</t>
  </si>
  <si>
    <t>Poděbradovo náměstí 301, Hlinsko</t>
  </si>
  <si>
    <t>N 49°45.62193'. E 15°54.38167'</t>
  </si>
  <si>
    <t>Schrott</t>
  </si>
  <si>
    <t>Křenová 291/10, Brno-střed - Trnitá</t>
  </si>
  <si>
    <t>http://www.schrott.cz</t>
  </si>
  <si>
    <t>https://www.facebook.com/schrottbrno</t>
  </si>
  <si>
    <t>https://goo.gl/t7wdUU</t>
  </si>
  <si>
    <t>Domovský podnik létajícího pivovaru Schrott; multipípa</t>
  </si>
  <si>
    <t>Schrott, různá</t>
  </si>
  <si>
    <t>N 49°11.48162'. E 16°36.96068'</t>
  </si>
  <si>
    <t>Skála</t>
  </si>
  <si>
    <t>Klášter Hradiště nad Jizerou 22, Klášter Hradiště nad Jizerou</t>
  </si>
  <si>
    <t>http://www.pivovarklaster.cz/restaurace</t>
  </si>
  <si>
    <t>https://www.facebook.com/Restaurace-Skála-hotel-Malý-Pivovar-880117765342596</t>
  </si>
  <si>
    <t>N 50°31.47705'. E 14°56.78032'</t>
  </si>
  <si>
    <t>Skřítek</t>
  </si>
  <si>
    <t>Brunclíkova 1875/17, Praha 6 - Břevnov</t>
  </si>
  <si>
    <t>https://www.facebook.com/pivnibarskritek.cz</t>
  </si>
  <si>
    <t>https://goo.gl/KLu5zc</t>
  </si>
  <si>
    <t>N 50°5.16980', E 14°20.70147'</t>
  </si>
  <si>
    <t>Sokolovna</t>
  </si>
  <si>
    <t>Tyršova 177, Vizovice</t>
  </si>
  <si>
    <t>https://www.facebook.com/Restaurace-Pivnice-Sokolovna-Vizovice-1522529004648820</t>
  </si>
  <si>
    <t>https://goo.gl/q3NuV7</t>
  </si>
  <si>
    <t>Malenovice, různá</t>
  </si>
  <si>
    <t>N 49°13.34262'. E 17°50.73333'</t>
  </si>
  <si>
    <t>Srdcovka</t>
  </si>
  <si>
    <t>Brno - Královo Pole</t>
  </si>
  <si>
    <t>Poděbradova 716/12, Brno - Královo Pole</t>
  </si>
  <si>
    <t>http://www.pivnicesrdcovka.cz</t>
  </si>
  <si>
    <t>https://www.facebook.com/PivniceSrdcovka</t>
  </si>
  <si>
    <t>https://goo.gl/HBT7yq</t>
  </si>
  <si>
    <t>N 49°13.285' E 16°35.881'</t>
  </si>
  <si>
    <t>Stejk Bejk</t>
  </si>
  <si>
    <t>A. V. Šembery 121, Vysoké Mýto - Město</t>
  </si>
  <si>
    <t>https://www.facebook.com/StejkBejk</t>
  </si>
  <si>
    <t>N 49°57.20190'. E 16°9.78310'</t>
  </si>
  <si>
    <t>Stodolní hospůdka</t>
  </si>
  <si>
    <t>Druztová</t>
  </si>
  <si>
    <t>Druztová 300, Druztová</t>
  </si>
  <si>
    <t>https://www.facebook.com/Stodolnihospudka</t>
  </si>
  <si>
    <t>N 49°47.84328'. E 13°26.97663'</t>
  </si>
  <si>
    <t>Stopkova Plzeňská Pivnice</t>
  </si>
  <si>
    <t>Česká 163/5, Brno-střed - Brno-město</t>
  </si>
  <si>
    <t>http://www.kolkovna.cz/cs/stopkova-plzenska-pivnice-16</t>
  </si>
  <si>
    <t>N 49°11.73972', E 16°36.40320'</t>
  </si>
  <si>
    <t>Stračena pub</t>
  </si>
  <si>
    <t>Lužická 590/2, Ostrava-Jih - Výškovice</t>
  </si>
  <si>
    <t>http://www.stracenapub.cz</t>
  </si>
  <si>
    <t>https://www.facebook.com/stracenapub</t>
  </si>
  <si>
    <t>https://goo.gl/Ghv9sN</t>
  </si>
  <si>
    <t>Beskydský, různá</t>
  </si>
  <si>
    <t>N 49°46.62067'. E 18°13.20463'</t>
  </si>
  <si>
    <t>Stress Bar</t>
  </si>
  <si>
    <t>https://www.facebook.com/HoriceStressBar/?rf=275750559195418</t>
  </si>
  <si>
    <t>N 50°22.17440'. E 15°38.27852'</t>
  </si>
  <si>
    <t>Suterén</t>
  </si>
  <si>
    <t>Veveří 479/43, Brno-střed - Veveří</t>
  </si>
  <si>
    <t>http://www.suterenpub.cz/suteren</t>
  </si>
  <si>
    <t>https://www.facebook.com/Suterenpub</t>
  </si>
  <si>
    <t>https://goo.gl/CAMzrM</t>
  </si>
  <si>
    <t>N 49°12.11977'. E 16°35.89710'</t>
  </si>
  <si>
    <t>Svatý Hubert</t>
  </si>
  <si>
    <t>Zbraslavice 169, Zbraslavice</t>
  </si>
  <si>
    <t>http://www.hotel-hubert.cz</t>
  </si>
  <si>
    <t>N 49°48.91785'. E 15°11.40222'</t>
  </si>
  <si>
    <t>Šalanda Hlavní nádraží</t>
  </si>
  <si>
    <t>Wilsonova 300/8, Praha 2 - Vinohrady</t>
  </si>
  <si>
    <t>https://www.restauracesalanda.cz</t>
  </si>
  <si>
    <t>https://www.facebook.com/Krušovická-Šalanda-Hlavní-nádraží-1655474144677326</t>
  </si>
  <si>
    <t>N 50°4.99803', E 14°26.03115'</t>
  </si>
  <si>
    <t>Šalanda Hradec Králové</t>
  </si>
  <si>
    <t>Střelecká 45/2, Hradec Králové - Pražské Předměstí</t>
  </si>
  <si>
    <t>https://www.facebook.com/SalandaHradecKralove</t>
  </si>
  <si>
    <t>N 50°12.78892', E 15°49.19792'</t>
  </si>
  <si>
    <t>Šalanda Karlín</t>
  </si>
  <si>
    <t>Thámova 166/18, Praha 8 - Karlín</t>
  </si>
  <si>
    <t>https://www.facebook.com/salandakarlin</t>
  </si>
  <si>
    <t>N 50°5.54488', E 14°27.15057'</t>
  </si>
  <si>
    <t>Šalanda Louny</t>
  </si>
  <si>
    <t>Beneše z Loun 139, Louny</t>
  </si>
  <si>
    <t>https://www.facebook.com/SalandaLouny</t>
  </si>
  <si>
    <t>N 50°21.42370', E 13°47.67393'</t>
  </si>
  <si>
    <t>Šalanda Mladá Boleslav</t>
  </si>
  <si>
    <t>tř. Václava Klementa 1227, Mladá Boleslav - Mladá Boleslav II</t>
  </si>
  <si>
    <t>https://www.facebook.com/salandamladaboleslav</t>
  </si>
  <si>
    <t>N 50°24.98923', E 14°54.72075'</t>
  </si>
  <si>
    <t>Šalanda Příbram</t>
  </si>
  <si>
    <t>Zahradnická 74, Příbram - Příbram III</t>
  </si>
  <si>
    <t>https://www.facebook.com/Šalanda-Příbram-736516826411564</t>
  </si>
  <si>
    <t>N 49°41.23498', E 14°0.66182'</t>
  </si>
  <si>
    <t>Šalanda Rakovník</t>
  </si>
  <si>
    <t>Husovo náměstí 53, Rakovník - Rakovník I</t>
  </si>
  <si>
    <t>http://www.restauracesalanda.cz</t>
  </si>
  <si>
    <t>https://www.facebook.com/SalandaRakovnik</t>
  </si>
  <si>
    <t>N 50°6.27905'. E 13°43.64082'</t>
  </si>
  <si>
    <t>Šalanda U Císaře</t>
  </si>
  <si>
    <t>Palackého 135/7, Mělník</t>
  </si>
  <si>
    <t>N 50°21.05610', E 14°28.55222'</t>
  </si>
  <si>
    <t>Šalanda U Čejpů</t>
  </si>
  <si>
    <t>Praha - Krč</t>
  </si>
  <si>
    <t>U strže 150/1, Praha 4 - Krč</t>
  </si>
  <si>
    <t>https://www.facebook.com/salandaucejpu</t>
  </si>
  <si>
    <t>N 50°2.55177', E 14°26.34572'</t>
  </si>
  <si>
    <t>Šalanda U Průhonu</t>
  </si>
  <si>
    <t>Praha - Řepy</t>
  </si>
  <si>
    <t>Makovského 1397/27a, Praha 17 - Řepy</t>
  </si>
  <si>
    <t>https://www.facebook.com/salandaupruhonu</t>
  </si>
  <si>
    <t>N 50°3.91343', E 14°18.06023'</t>
  </si>
  <si>
    <t>Šatlava - 28. října</t>
  </si>
  <si>
    <t>Ostrava - Mariánské Hory</t>
  </si>
  <si>
    <t>28. října 243/186, Ostrava - Mariánské Hory a Hulváky</t>
  </si>
  <si>
    <t>http://www.satlava.info</t>
  </si>
  <si>
    <t>N 49°49.71880', E 18°15.61203'</t>
  </si>
  <si>
    <t>Šatlava - Ahepjukova</t>
  </si>
  <si>
    <t>Ahepjukova 2859/8, Ostrava - Moravská Ostrava a Přívoz</t>
  </si>
  <si>
    <t>https://www.facebook.com/Šatlava-Ostrava-Fifejdy-258438044239420</t>
  </si>
  <si>
    <t>N 49°50.22040', E 18°15.77947'</t>
  </si>
  <si>
    <t>Šatlava - Dr. Martínka</t>
  </si>
  <si>
    <t>Dr. Martínka 1392/14a, Ostrava-Jih - Hrabůvka</t>
  </si>
  <si>
    <t>https://www.facebook.com/Šatlava-Ostrava-Hrabůvka-104955742962845</t>
  </si>
  <si>
    <t>N 49°47.12827', E 18°15.91005'</t>
  </si>
  <si>
    <t>Šatlava - Frýdlantská</t>
  </si>
  <si>
    <t>Frýdlantská 154, Frýdek-Místek - Místek</t>
  </si>
  <si>
    <t>https://www.facebook.com/Šatlava-Frýdek-Místek-323962077641215</t>
  </si>
  <si>
    <t>N 49°40.21070', E 18°20.73877'</t>
  </si>
  <si>
    <t>Šatlava - Heyrovského</t>
  </si>
  <si>
    <t>Heyrovského 1579/1, Ostrava - Poruba</t>
  </si>
  <si>
    <t>https://www.facebook.com/Šatlava-Poruba-Heyrovského-649276755162711</t>
  </si>
  <si>
    <t>N 49°50.45528', E 18°10.68337'</t>
  </si>
  <si>
    <t>Šatlava - Cholevova</t>
  </si>
  <si>
    <t>Cholevova 1584/3a, Ostrava-Jih - Hrabůvka</t>
  </si>
  <si>
    <t>https://www.facebook.com/Šatlava-Hrabůvka-Cholevova-533133246729349</t>
  </si>
  <si>
    <t>N 49°47.04702', E 18°14.99617'</t>
  </si>
  <si>
    <t>Šatlava - Nádražní</t>
  </si>
  <si>
    <t>Nádražní 1266/26, Ostrava - Moravská Ostrava a Přívoz</t>
  </si>
  <si>
    <t>https://www.facebook.com/Šatlava-Ostrava-centrum-333101890113917</t>
  </si>
  <si>
    <t>N 49°50.20355', E 18°17.17140'</t>
  </si>
  <si>
    <t>Šatlava - Oty Synka</t>
  </si>
  <si>
    <t>Oty Synka 1852/41, Ostrava - Poruba</t>
  </si>
  <si>
    <t>https://www.facebook.com/Šatlava-Ostrava-Poruba-II-381108495295338</t>
  </si>
  <si>
    <t>N 49°50.81005', E 18°9.52897'</t>
  </si>
  <si>
    <t>Šatlava - Sokolovská</t>
  </si>
  <si>
    <t>Sokolovská 1234/50, Ostrava - Poruba</t>
  </si>
  <si>
    <t>https://www.facebook.com/Šatlava-Ostrava-Poruba-267881139947681</t>
  </si>
  <si>
    <t>N 49°50.14115', E 18°10.99300'</t>
  </si>
  <si>
    <t>Šatlava - Vršovců</t>
  </si>
  <si>
    <t>Vršovců 1241/5, Ostrava - Mariánské Hory a Hulváky</t>
  </si>
  <si>
    <t>N 49°49.91438', E 18°15.03568'</t>
  </si>
  <si>
    <t>Šťáhlavice "65"</t>
  </si>
  <si>
    <t>Šťáhlavice 65, Šťáhlavy - Šťáhlavice</t>
  </si>
  <si>
    <t>https://www.facebook.com/Hostinec-Šťáhlavice-65-1312828565416805</t>
  </si>
  <si>
    <t>N 49°39.57710'. E 13°31.51332'</t>
  </si>
  <si>
    <t>T-Anker</t>
  </si>
  <si>
    <t>náměstí Republiky 656/8, Praha 1 - Staré Město</t>
  </si>
  <si>
    <t>http://www.t-anker.cz</t>
  </si>
  <si>
    <t>https://www.facebook.com/SlunecniTerasaTAnker</t>
  </si>
  <si>
    <t>https://goo.gl/myrH4A</t>
  </si>
  <si>
    <t>N 50°5.346' E 14°25.662'</t>
  </si>
  <si>
    <t>Taproom</t>
  </si>
  <si>
    <t>Moravské náměstí 629/4, Brno-střed - Brno-město</t>
  </si>
  <si>
    <t>https://www.facebook.com/taproombrno</t>
  </si>
  <si>
    <t>https://goo.gl/BMEm5s</t>
  </si>
  <si>
    <t>N 49°11.83743'. E 16°36.46847'</t>
  </si>
  <si>
    <t>The Immigrant</t>
  </si>
  <si>
    <t>Veveří 486/57, Brno-střed - Veveří</t>
  </si>
  <si>
    <t>http://www.theimmigrant.cz</t>
  </si>
  <si>
    <t>https://www.facebook.com/TheImmigrantBrno</t>
  </si>
  <si>
    <t>https://goo.gl/cY2eB9</t>
  </si>
  <si>
    <t>N 49°12.189' E 16°35.808'</t>
  </si>
  <si>
    <t>The Roses</t>
  </si>
  <si>
    <t>Purkyňova 2415/116, Brno - Královo Pole</t>
  </si>
  <si>
    <t>https://www.facebook.com/TheRosesBar</t>
  </si>
  <si>
    <t>https://goo.gl/LiLMyA</t>
  </si>
  <si>
    <t>Welzl, různá</t>
  </si>
  <si>
    <t>N 49°13.49508'. E 16°34.99110'</t>
  </si>
  <si>
    <t>Jungmannova 1886, Tišnov</t>
  </si>
  <si>
    <t>http://www.tisnovskapivnice.cz</t>
  </si>
  <si>
    <t>N 49°20.97540'. E 16°25.20513'</t>
  </si>
  <si>
    <t>U Kocoura</t>
  </si>
  <si>
    <t>Biskupská 266/6, Brno-střed - Brno-město</t>
  </si>
  <si>
    <t>http://www.pivniceukocoura.cz</t>
  </si>
  <si>
    <t>https://www.facebook.com/UKocouraBrno</t>
  </si>
  <si>
    <t>https://goo.gl/6Z42nW</t>
  </si>
  <si>
    <t>Kocour, různá</t>
  </si>
  <si>
    <t>N 49°11.49727'. E 16°36.36758'</t>
  </si>
  <si>
    <t>U Alberta</t>
  </si>
  <si>
    <t>Pellicova 50/10, Brno-střed - Brno-město</t>
  </si>
  <si>
    <t>https://www.facebook.com/ualbertabrno</t>
  </si>
  <si>
    <t>https://goo.gl/ijahtf</t>
  </si>
  <si>
    <t>Domovský podnik létajícího pivovaru Albert; multipípa</t>
  </si>
  <si>
    <t>N 49°11.568' E 16°36.051'</t>
  </si>
  <si>
    <t>Klatovská třída 1238/63, Plzeň 3 - Jižní Předměstí</t>
  </si>
  <si>
    <t>http://ubizona.eu/plzen</t>
  </si>
  <si>
    <t>https://www.facebook.com/RestauraceUBizonaPlzen</t>
  </si>
  <si>
    <t>N 49°44.12822'. E 13°22.24235'</t>
  </si>
  <si>
    <t>U Bomby</t>
  </si>
  <si>
    <t>Husitská 1216/11, Brno - Královo Pole</t>
  </si>
  <si>
    <t>https://www.facebook.com/PIVNÍ-LOKÁL-U-BOMBY-653299078102678</t>
  </si>
  <si>
    <t>https://goo.gl/gjGiLu</t>
  </si>
  <si>
    <t>N 49°13.40880'. E 16°35.59520'</t>
  </si>
  <si>
    <t>U Břízků</t>
  </si>
  <si>
    <t>Sokolovská 178/73, Karlovy Vary - Rybáře</t>
  </si>
  <si>
    <t>http://ubrizku-kv.kolova.eu</t>
  </si>
  <si>
    <t>https://www.facebook.com/restauraceubrizku</t>
  </si>
  <si>
    <t>https://goo.gl/c5nCmV</t>
  </si>
  <si>
    <t>N 50°14.01728'. E 12°51.49492'</t>
  </si>
  <si>
    <t>Příbor</t>
  </si>
  <si>
    <t>9. května 1163, Příbor</t>
  </si>
  <si>
    <t>http://www.restauraceucapa.eu</t>
  </si>
  <si>
    <t>https://www.facebook.com/restauraceUcapa</t>
  </si>
  <si>
    <t>https://goo.gl/PDMyfW</t>
  </si>
  <si>
    <t>N 49°38.702' E 18°9.216'</t>
  </si>
  <si>
    <t>U Červinků</t>
  </si>
  <si>
    <t>Horní Ředice</t>
  </si>
  <si>
    <t>Horní Ředice 47, Horní Ředice</t>
  </si>
  <si>
    <t>https://www.facebook.com/Hostinec-U-Červinků-182893355073590</t>
  </si>
  <si>
    <t>N 50°4.55257'. E 15°56.56162'</t>
  </si>
  <si>
    <t>U Čiháků</t>
  </si>
  <si>
    <t>Jiráskova 163/3, Poděbrady - Poděbrady III</t>
  </si>
  <si>
    <t>https://www.facebook.com/PivniceUCihaku</t>
  </si>
  <si>
    <t>https://goo.gl/2u5x1m</t>
  </si>
  <si>
    <t>N 50°8.63798', E 15°7.40392'</t>
  </si>
  <si>
    <t>U Čolka</t>
  </si>
  <si>
    <t>Tábor 879/3, Brno - Žabovřesky</t>
  </si>
  <si>
    <t>https://www.facebook.com/ucolka</t>
  </si>
  <si>
    <t>https://goo.gl/2XQRbW</t>
  </si>
  <si>
    <t>N 49°12.64622'. E 16°35.21582'</t>
  </si>
  <si>
    <t>U Davida</t>
  </si>
  <si>
    <t>Lipovská 189/59, Jeseník</t>
  </si>
  <si>
    <t>https://www.facebook.com/Hospůdka-U-Davida-225602894233476</t>
  </si>
  <si>
    <t>https://goo.gl/jUKHzC</t>
  </si>
  <si>
    <t>N 50°13.62095'. E 17°11.74648'</t>
  </si>
  <si>
    <t>U Desatera</t>
  </si>
  <si>
    <t>Holická 35, Dolní Ředice</t>
  </si>
  <si>
    <t>https://www.facebook.com/udesatera</t>
  </si>
  <si>
    <t>N 50°4.73252'. E 15°55.33322'</t>
  </si>
  <si>
    <t>U Dvou dobráků - Galérka</t>
  </si>
  <si>
    <t>Dolní náměstí 13/13, Opava - Město</t>
  </si>
  <si>
    <t>http://udvoudobraku.cz</t>
  </si>
  <si>
    <t>https://www.facebook.com/udvoudobraku</t>
  </si>
  <si>
    <t>https://goo.gl/CqEZoX</t>
  </si>
  <si>
    <t>N 49°56.38103'. E 17°54.35478'</t>
  </si>
  <si>
    <t>U Dvou přátel - Dominikánská 11</t>
  </si>
  <si>
    <t>Dominikánská 347/11, Brno-střed - Brno-město</t>
  </si>
  <si>
    <t>https://www.facebook.com/udvoupratelbrno</t>
  </si>
  <si>
    <t>https://goo.gl/4JuqMX</t>
  </si>
  <si>
    <t>N 49°11.58568'. E 16°36.37885'</t>
  </si>
  <si>
    <t>U Dvou přátel - Tábor 25</t>
  </si>
  <si>
    <t>Brno - Žabovřesky</t>
  </si>
  <si>
    <t>Tábor 890/25, Brno - Žabovřesky</t>
  </si>
  <si>
    <t>N 49°12.73137'. E 16°35.29095'</t>
  </si>
  <si>
    <t>Les Moules (dříve Roland de Flanders, Van Steenberge), various belgická</t>
  </si>
  <si>
    <t>U Feldů</t>
  </si>
  <si>
    <t>Klimkovice</t>
  </si>
  <si>
    <t>Náměstí 68, Klimkovice</t>
  </si>
  <si>
    <t>http://www.ufeldu.cz</t>
  </si>
  <si>
    <t>https://www.facebook.com/ufeldu</t>
  </si>
  <si>
    <t>https://goo.gl/4YfGvM</t>
  </si>
  <si>
    <t>N 49°47.17117'. E 18°7.92400'</t>
  </si>
  <si>
    <t>U Kacíře</t>
  </si>
  <si>
    <t>Mánesova 1645/87, Praha 2 - Vinohrady</t>
  </si>
  <si>
    <t>http://www.pivnisenk.cz</t>
  </si>
  <si>
    <t>https://www.facebook.com/ukacire</t>
  </si>
  <si>
    <t>https://goo.gl/EvzdgA</t>
  </si>
  <si>
    <t>N 50°4.684' E 14°26.876'</t>
  </si>
  <si>
    <t>U Kameňa</t>
  </si>
  <si>
    <t>Holubova 118/10, Olomouc - Svatý Kopeček</t>
  </si>
  <si>
    <t>http://ukamena.webmium.com</t>
  </si>
  <si>
    <t>N 49°37.81483'. E 17°20.53218'</t>
  </si>
  <si>
    <t>U Kance</t>
  </si>
  <si>
    <t>náměstí T. G. Masaryka 546/16, Plzeň 3 - Jižní Předměstí</t>
  </si>
  <si>
    <t>http://www.pivniceukance.cz</t>
  </si>
  <si>
    <t>https://goo.gl/m28k9B</t>
  </si>
  <si>
    <t>N 49°44.43590'. E 13°22.41573'</t>
  </si>
  <si>
    <t>U Klauna</t>
  </si>
  <si>
    <t>Crazy Clown</t>
  </si>
  <si>
    <t>Pod Harfou 933/68, Praha 9 - Vysočany</t>
  </si>
  <si>
    <t>https://www.facebook.com/uklauna</t>
  </si>
  <si>
    <t>https://goo.gl/ks1YLr</t>
  </si>
  <si>
    <t>Domovský podnik létajícího pivovaru Crazy Clown; multipípa</t>
  </si>
  <si>
    <t>Crazy Clown, různá</t>
  </si>
  <si>
    <t>N 50°6.23883'. E 14°30.70453'</t>
  </si>
  <si>
    <t>U kocoura Olivera</t>
  </si>
  <si>
    <t>Masarykova 596, Bohumín - Nový Bohumín</t>
  </si>
  <si>
    <t>http://www.ukocouraolivera.cz</t>
  </si>
  <si>
    <t>https://www.facebook.com/ubytovanibohumin</t>
  </si>
  <si>
    <t>https://goo.gl/YfB6yn</t>
  </si>
  <si>
    <t>Kocour bandita, Mikeš, Zrzoň (Beskydský), Bernard</t>
  </si>
  <si>
    <t>N 49°54.34437'. E 18°21.32350'</t>
  </si>
  <si>
    <t>Československé armády 216/41, Hradec Králové</t>
  </si>
  <si>
    <t>http://www.ukohoutahk.cz</t>
  </si>
  <si>
    <t>https://www.facebook.com/Hostinec-U-Kohouta-195966757138896</t>
  </si>
  <si>
    <t>Kubík, různá</t>
  </si>
  <si>
    <t>N 50°12.73500'. E 15°49.93640'</t>
  </si>
  <si>
    <t>U Komína</t>
  </si>
  <si>
    <t>Moravní náměstí 1267, Uherské Hradiště</t>
  </si>
  <si>
    <t>https://www.facebook.com/Restaurace-U-Kom%C3%ADna-159052081172214</t>
  </si>
  <si>
    <t>N 49°4.36687'. E 17°27.30195'</t>
  </si>
  <si>
    <t>U koupaliště</t>
  </si>
  <si>
    <t>Malešický, various</t>
  </si>
  <si>
    <t>Koválovice-Osíčany - koupaliště</t>
  </si>
  <si>
    <t>N 49°16.84593'. E 17°10.28868'</t>
  </si>
  <si>
    <t>U Kozy</t>
  </si>
  <si>
    <t>Kopečná 955, Moravský Krumlov - Rakšice</t>
  </si>
  <si>
    <t>http://www.ukozy.eu</t>
  </si>
  <si>
    <t>https://www.facebook.com/U-KOZY-160610367311346</t>
  </si>
  <si>
    <t>https://goo.gl/YzrRwm</t>
  </si>
  <si>
    <t>N 49°2.385' E 16°19.285'</t>
  </si>
  <si>
    <t>U Krbu</t>
  </si>
  <si>
    <t>Poděbradova 302, Domažlice - Týnské Předměstí</t>
  </si>
  <si>
    <t>N 49°26.49808'. E 12°55.79587'</t>
  </si>
  <si>
    <t>U Kuděje</t>
  </si>
  <si>
    <t>Krapkova 236/20, Olomouc - Nová Ulice</t>
  </si>
  <si>
    <t>https://www.facebook.com/UKudeje</t>
  </si>
  <si>
    <t>https://goo.gl/DJPhPn</t>
  </si>
  <si>
    <t>N 49°35.596' E 17°14.619'</t>
  </si>
  <si>
    <t>U Lachtana</t>
  </si>
  <si>
    <t>Lachtan</t>
  </si>
  <si>
    <t>Velké náměstí 5, Prachatice - Prachatice I</t>
  </si>
  <si>
    <t>Maxmilian u Mincovny</t>
  </si>
  <si>
    <t>https://www.facebook.com/hospudkaulachtana</t>
  </si>
  <si>
    <t>https://goo.gl/XmF18w</t>
  </si>
  <si>
    <t>Domovský podnik létajícího pivovaru Lachtan</t>
  </si>
  <si>
    <t>N 49°0.78385'. E 13°59.84267'</t>
  </si>
  <si>
    <t>U Lípy</t>
  </si>
  <si>
    <t>Zborná</t>
  </si>
  <si>
    <t>Zborná 16, Jihlava - Zborná</t>
  </si>
  <si>
    <t>http://www.hostinec.zborna.cz</t>
  </si>
  <si>
    <t>https://flic.kr/s/aHsmwoQKjT</t>
  </si>
  <si>
    <t>https://goo.gl/aEp1eE</t>
  </si>
  <si>
    <t>N 49°26.335' E 15°34.456'</t>
  </si>
  <si>
    <t>Nádražní 1501, Bzenec</t>
  </si>
  <si>
    <t>http://www.hospudkalokalka.cz</t>
  </si>
  <si>
    <t>https://www.facebook.com/Hospůdka-u-Lokálky-738605596160860</t>
  </si>
  <si>
    <t>N 48°58.16295'. E 17°15.82303'</t>
  </si>
  <si>
    <t>U Lva</t>
  </si>
  <si>
    <t>Velehradská 4248/24a, Kroměříž</t>
  </si>
  <si>
    <t>http://www.u-lva.net</t>
  </si>
  <si>
    <t>http://www.facebook.com/pages/U-Lva-tak-trochu-jina-pivnice/1622457741324264</t>
  </si>
  <si>
    <t>https://goo.gl/UFWrBj</t>
  </si>
  <si>
    <t>N 49°17.40225'. E 17°23.43567'</t>
  </si>
  <si>
    <t>U Malýho Velkýho píva</t>
  </si>
  <si>
    <t>Václavské náměstí 1, Příbram - Příbram II</t>
  </si>
  <si>
    <t>https://www.facebook.com/vilem.pribram</t>
  </si>
  <si>
    <t>N 49°41.36083'. E 14°0.83830'</t>
  </si>
  <si>
    <t>U Matěje</t>
  </si>
  <si>
    <t>Proskovická 223/218, Ostrava - Stará Bělá</t>
  </si>
  <si>
    <t>N 49°45.79900'. E 18°12.31287'</t>
  </si>
  <si>
    <t>Únanov 11, Únanov</t>
  </si>
  <si>
    <t>http://www.restauraceumoliku.cz</t>
  </si>
  <si>
    <t>https://www.facebook.com/pg/Restaurace-U-Motlíků-1646092459012455</t>
  </si>
  <si>
    <t>N 48°53.99378'. E 16°3.89992'</t>
  </si>
  <si>
    <t>U Mravenca</t>
  </si>
  <si>
    <t>Sentice 59, Sentice</t>
  </si>
  <si>
    <t>http://restaurace-u-mravenca.webnode.cz</t>
  </si>
  <si>
    <t>N 49°18.53678'. E 16°26.67785'</t>
  </si>
  <si>
    <t>U Opata</t>
  </si>
  <si>
    <t>Štrossova 291, Pardubice I - Bílé Předměstí</t>
  </si>
  <si>
    <t>http://uopata.cz</t>
  </si>
  <si>
    <t>https://www.facebook.com/uopata.cz</t>
  </si>
  <si>
    <t>N 50°2.33755'. E 15°47.12702'</t>
  </si>
  <si>
    <t>U Oráče</t>
  </si>
  <si>
    <t>Létající bezdomovec</t>
  </si>
  <si>
    <t>Oráčova 1013/1a, Ostrava-Jih - Hrabůvka</t>
  </si>
  <si>
    <t>http://www.hospudka-u-orace.cz</t>
  </si>
  <si>
    <t>https://www.facebook.com/hospudkauorace</t>
  </si>
  <si>
    <t>https://goo.gl/uvLKu5</t>
  </si>
  <si>
    <t>Domovský podnik létajícího pivovaru Létající bezdomovec; multipípa</t>
  </si>
  <si>
    <t>Létající bezdomovec, různá</t>
  </si>
  <si>
    <t>N 49°46.93783'. E 18°16.17345'</t>
  </si>
  <si>
    <t>U Oslů</t>
  </si>
  <si>
    <t>Sokolská 361/10, Brno-střed - Veveří</t>
  </si>
  <si>
    <t>http://www.uoslu.cz</t>
  </si>
  <si>
    <t>https://www.facebook.com/UVsechOslu</t>
  </si>
  <si>
    <t>N 49°12.19280'. E 16°35.94378'</t>
  </si>
  <si>
    <t>U Pramene</t>
  </si>
  <si>
    <t>Okružní 92, Hnanice</t>
  </si>
  <si>
    <t>N 48°47.82682'. E 15°59.16750'</t>
  </si>
  <si>
    <t>U Pražského groše</t>
  </si>
  <si>
    <t>Tomkova 178/15, Hradec Králové</t>
  </si>
  <si>
    <t>https://www.facebook.com/pivniceuprazskehogrose</t>
  </si>
  <si>
    <t>https://goo.gl/1QuXsK</t>
  </si>
  <si>
    <t>Dřívější název "Zelenej zákal"</t>
  </si>
  <si>
    <t>Bulík (Žamberecký Kanec), různá</t>
  </si>
  <si>
    <t>N 50°12.612' E 15°50.011'</t>
  </si>
  <si>
    <t>U prince Miroslava</t>
  </si>
  <si>
    <t>K vodojemu 2382/4, Praha 5 - Smíchov</t>
  </si>
  <si>
    <t>https://www.facebook.com/UPrinceMiroslava</t>
  </si>
  <si>
    <t>https://goo.gl/uogErF</t>
  </si>
  <si>
    <t>N 50°3.69908', E 14°23.88845'</t>
  </si>
  <si>
    <t>U Richarda</t>
  </si>
  <si>
    <t>Údolní 223/7, Brno-střed - Brno-město</t>
  </si>
  <si>
    <t>http://www.uricharda.cz</t>
  </si>
  <si>
    <t>https://www.facebook.com/urichardaudolni</t>
  </si>
  <si>
    <t>N 49°11.77800'. E 16°36.10800'</t>
  </si>
  <si>
    <t>U Sadu</t>
  </si>
  <si>
    <t>Škroupovo náměstí 1528/6, Praha 3 - Žižkov</t>
  </si>
  <si>
    <t>http://www.usadu.cz</t>
  </si>
  <si>
    <t>https://www.facebook.com/restauraceusadu</t>
  </si>
  <si>
    <t>https://goo.gl/a9uNGX</t>
  </si>
  <si>
    <t>multipípa; pivotéka (belgická piva)</t>
  </si>
  <si>
    <t>Sádek (Vysoký Chlumec), různá</t>
  </si>
  <si>
    <t>N 50°4.829' E 14°26.954'</t>
  </si>
  <si>
    <t>U Salzmannů</t>
  </si>
  <si>
    <t>Pražská 90/8, Plzeň 3 - Vnitřní Město</t>
  </si>
  <si>
    <t>http://www.usalzmannu.com</t>
  </si>
  <si>
    <t>https://www.facebook.com/USalzmannu</t>
  </si>
  <si>
    <t>N 49°44.86937', E 13°22.76407'</t>
  </si>
  <si>
    <t>U Segala</t>
  </si>
  <si>
    <t>Gen. Hrušky 1233/26, Ostrava - Mariánské Hory a Hulváky</t>
  </si>
  <si>
    <t>http://www.usegala.cz</t>
  </si>
  <si>
    <t>https://goo.gl/fwrpfr</t>
  </si>
  <si>
    <t>N 49°50.159' E 18°15.569'</t>
  </si>
  <si>
    <t>U Slovanské Lípy</t>
  </si>
  <si>
    <t>Tachovské náměstí 288/6, Praha 3 - Žižkov</t>
  </si>
  <si>
    <t>http://www.uslovanskelipy.cz</t>
  </si>
  <si>
    <t>https://goo.gl/K55fRP</t>
  </si>
  <si>
    <t>N 50°5.247' E 14°27.212'</t>
  </si>
  <si>
    <t>Zelenářská 20/1, Znojmo</t>
  </si>
  <si>
    <t>http://www.pivniceusneka.cz</t>
  </si>
  <si>
    <t>https://www.facebook.com/PivniceuSneka</t>
  </si>
  <si>
    <t>U Šneka, různá</t>
  </si>
  <si>
    <t>N 48°51.28295'. E 16°2.93477'</t>
  </si>
  <si>
    <t>U Talafy</t>
  </si>
  <si>
    <t>Osvobození 34, Slavičín</t>
  </si>
  <si>
    <t>http://www.utalafy.cz</t>
  </si>
  <si>
    <t>N 49°5.25807'. E 17°52.72283'</t>
  </si>
  <si>
    <t>U Tekutého chleba</t>
  </si>
  <si>
    <t>Moravské náměstí 755/14a, Brno-střed - Veveří</t>
  </si>
  <si>
    <t>https://www.facebook.com/hercny</t>
  </si>
  <si>
    <t>https://goo.gl/G1Y4gN</t>
  </si>
  <si>
    <t>N 49°11.99308'. E 16°36.38765'</t>
  </si>
  <si>
    <t>U Tesaře</t>
  </si>
  <si>
    <t>Grmelova 62/9, Brno-střed - Štýřice</t>
  </si>
  <si>
    <t>http://www.utesare.cz</t>
  </si>
  <si>
    <t>https://www.facebook.com/HostinecUTesare</t>
  </si>
  <si>
    <t>https://goo.gl/MwpRTj</t>
  </si>
  <si>
    <t>Prasák (Ohrada), Polička</t>
  </si>
  <si>
    <t>N 49°10.89398'. E 16°35.94128'</t>
  </si>
  <si>
    <t>U Tesařů</t>
  </si>
  <si>
    <t>Bítov 101, Bítov</t>
  </si>
  <si>
    <t>http://www.utesaru.cz</t>
  </si>
  <si>
    <t>N 48°56.25980'. E 15°43.76637'</t>
  </si>
  <si>
    <t>U Toulavé pípy</t>
  </si>
  <si>
    <t>Beer poets</t>
  </si>
  <si>
    <t>Bělobranské náměstí 9, Pardubice I - Bílé Předměstí</t>
  </si>
  <si>
    <t>http://utoulavepipy.cz</t>
  </si>
  <si>
    <t>https://www.facebook.com/toulavapipa</t>
  </si>
  <si>
    <t>https://goo.gl/nyVZ8z</t>
  </si>
  <si>
    <t>Domovský podnik létajícího pivovaru Beer poets (Bývalý Podkunětickohorský Havran); multipípa</t>
  </si>
  <si>
    <t>Beer poets, různá</t>
  </si>
  <si>
    <t>N 50°2.44467'. E 15°46.84797'</t>
  </si>
  <si>
    <t>U Třech čertů</t>
  </si>
  <si>
    <t>Dvořákova 645/6, Brno-střed - Brno-město</t>
  </si>
  <si>
    <t>http://ucertu.cz</t>
  </si>
  <si>
    <t>https://www.facebook.com/U-třech-čertů-Starobrněnská-266529430124702</t>
  </si>
  <si>
    <t>N 49°11.74810'. E 16°36.64205'</t>
  </si>
  <si>
    <t>Starobrněnská 289/7, Brno-střed - Brno-město</t>
  </si>
  <si>
    <t>N 49°11.53753'. E 16°36.42830'</t>
  </si>
  <si>
    <t>U Tří pírek</t>
  </si>
  <si>
    <t>Karlovo náměstí 72, Kolín - Kolín I</t>
  </si>
  <si>
    <t>http://www.utripirek.cz</t>
  </si>
  <si>
    <t>https://www.facebook.com/utripirek.cz</t>
  </si>
  <si>
    <t>https://goo.gl/fwaCq5</t>
  </si>
  <si>
    <t>N 50°1.71110', E 15°12.11313'</t>
  </si>
  <si>
    <t>U Valáška</t>
  </si>
  <si>
    <t>Hrnčířská 884/3, Brno-střed - Veveří</t>
  </si>
  <si>
    <t>http://uvalaska.cz</t>
  </si>
  <si>
    <t>https://www.facebook.com/uvalaska</t>
  </si>
  <si>
    <t>N 49°12.61045'. E 16°36.13645'</t>
  </si>
  <si>
    <t>U Vodoucha</t>
  </si>
  <si>
    <t>Jagellonská 2426/21, Praha 3 - Vinohrady</t>
  </si>
  <si>
    <t>http://uvodoucha.pivovarkostelec.cz</t>
  </si>
  <si>
    <t>https://www.facebook.com/Hostinec-U-Vodoucha-162802630446979</t>
  </si>
  <si>
    <t>https://goo.gl/1kiysV</t>
  </si>
  <si>
    <t>N 50°4.788' E 14°27.266'</t>
  </si>
  <si>
    <t>U Vozků</t>
  </si>
  <si>
    <t>Masarykova 438/44, Liberec I - Staré Město</t>
  </si>
  <si>
    <t>http://www.hotelujezirka.cz/pivnice</t>
  </si>
  <si>
    <t>https://www.facebook.com/pg/hotelujezirka</t>
  </si>
  <si>
    <t>https://goo.gl/zyA5Je</t>
  </si>
  <si>
    <t>N 50°46.544' E 15°4.467'</t>
  </si>
  <si>
    <t>Útulek</t>
  </si>
  <si>
    <t>Havlíčkova 398/6, Hradec Králové</t>
  </si>
  <si>
    <t>http://utulekhk.cz</t>
  </si>
  <si>
    <t>https://www.facebook.com/utulekhk</t>
  </si>
  <si>
    <t>Rotující pípy</t>
  </si>
  <si>
    <t>N 50°12.71647'. E 15°49.57552'</t>
  </si>
  <si>
    <t>Úvozna</t>
  </si>
  <si>
    <t>Úvoz 82/39, Brno-střed - Veveří</t>
  </si>
  <si>
    <t>http://uvozna.cz</t>
  </si>
  <si>
    <t>https://www.facebook.com/uvozna</t>
  </si>
  <si>
    <t>N 49°11.93523'. E 16°35.60118'</t>
  </si>
  <si>
    <t>Ve Skále</t>
  </si>
  <si>
    <t>http://www.chodovar.cz/id1072cz-restaurace-ve-skale.htm</t>
  </si>
  <si>
    <t>N 49°53.59197'. E 12°43.63857'</t>
  </si>
  <si>
    <t>Velkopopovická Kozlovna</t>
  </si>
  <si>
    <t>http://velkopopovickakozlovna.cz</t>
  </si>
  <si>
    <t>https://www.facebook.com/VelkopopovickaKozlovna</t>
  </si>
  <si>
    <t>N 49°55.351'. E 14°38.164'</t>
  </si>
  <si>
    <t>Vršovická Kozlovna</t>
  </si>
  <si>
    <t>Vršovická 1220/80, Praha 10 - Vršovice</t>
  </si>
  <si>
    <t>http://www.vrsovickakozlovna.cz</t>
  </si>
  <si>
    <t>https://www.facebook.com/vrsovickakozlovna</t>
  </si>
  <si>
    <t>N 50°4.19450', E 14°28.42315'</t>
  </si>
  <si>
    <t>Výčep Na stojáka Anglická</t>
  </si>
  <si>
    <t>Anglická 81/24, Praha 2 - Vinohrady</t>
  </si>
  <si>
    <t>http://www.vycepnastojaka.cz</t>
  </si>
  <si>
    <t>https://www.facebook.com/vycepnastojakaanglicka</t>
  </si>
  <si>
    <t>https://goo.gl/iTqkwP</t>
  </si>
  <si>
    <t>N 50°4.56442', E 14°26.05243'</t>
  </si>
  <si>
    <t>Výčep Na stojáka Jakubák</t>
  </si>
  <si>
    <t>Běhounská 6/16, Brno-střed - Brno-město</t>
  </si>
  <si>
    <t>https://www.facebook.com/Výčep-Na-stojáka-Jakubák-365656933551335</t>
  </si>
  <si>
    <t>N 49°11.808' E 16°36.555'</t>
  </si>
  <si>
    <t>Výčep Na stojáka Pekanda</t>
  </si>
  <si>
    <t>Husova 167/7, Brno-střed - Staré Brno</t>
  </si>
  <si>
    <t>https://www.facebook.com/vycepnastojakapekanda</t>
  </si>
  <si>
    <t>N 49°11.54482'. E 16°36.29060'</t>
  </si>
  <si>
    <t>Zámecká sýpka</t>
  </si>
  <si>
    <t>Dvorská 78/6a, Blansko</t>
  </si>
  <si>
    <t>http://www.sypkablansko.cz</t>
  </si>
  <si>
    <t>https://www.facebook.com/Zámecká-sýpka-Blansko-320963274598358</t>
  </si>
  <si>
    <t>https://goo.gl/5w1SEq</t>
  </si>
  <si>
    <t>Garde (?), různá</t>
  </si>
  <si>
    <t>N 49°21.87927'. E 16°38.83113'</t>
  </si>
  <si>
    <t>Zastávka - pivnice malých pivovarů</t>
  </si>
  <si>
    <t>Úvoz 88/78, Brno-střed - Veveří</t>
  </si>
  <si>
    <t>https://www.facebook.com/zastavkauvoz</t>
  </si>
  <si>
    <t>https://goo.gl/SPSwNt</t>
  </si>
  <si>
    <t>N 49°11.96022'. E 16°35.61823'</t>
  </si>
  <si>
    <t>Zelená Kočka Pivárium</t>
  </si>
  <si>
    <t>Dvořákova 633/3, Brno-střed - Brno-město</t>
  </si>
  <si>
    <t>http://www.zelenakocka.cz</t>
  </si>
  <si>
    <t>https://www.facebook.com/ZelenaKocka</t>
  </si>
  <si>
    <t>https://goo.gl/95VkbE</t>
  </si>
  <si>
    <t>dříve Sovíček Kulíšek (Moravský Žižkov), různá</t>
  </si>
  <si>
    <t>N 49°11.756' E 16°36.604'</t>
  </si>
  <si>
    <t>Zelenáčova šopa</t>
  </si>
  <si>
    <t>Dlouhá 111, Zlín</t>
  </si>
  <si>
    <t>http://www.sopa.cz</t>
  </si>
  <si>
    <t>https://www.facebook.com/sopa.cz</t>
  </si>
  <si>
    <t>https://goo.gl/TBVKoM</t>
  </si>
  <si>
    <t>N 49°13.747' E 17°40.209'</t>
  </si>
  <si>
    <t>Němý Medvěd, various</t>
  </si>
  <si>
    <t>Zlatý Orel</t>
  </si>
  <si>
    <t>Žižkovská 186/15, Ostrava - Nová Bělá</t>
  </si>
  <si>
    <t>https://www.facebook.com/zlatyorel</t>
  </si>
  <si>
    <t>N 49°46.44742'. E 18°15.48983'</t>
  </si>
  <si>
    <t>Zlý Časy</t>
  </si>
  <si>
    <t>Čestmírova 390/5, Praha 4 - Nusle</t>
  </si>
  <si>
    <t>http://www.zlycasy.eu</t>
  </si>
  <si>
    <t>https://www.facebook.com/zlycasy</t>
  </si>
  <si>
    <t>https://goo.gl/uBbWQq</t>
  </si>
  <si>
    <t>N 50°3.860' E 14°26.522'</t>
  </si>
  <si>
    <t>Zubatá žába</t>
  </si>
  <si>
    <t>Jungmannova 1146/33, Brno - Královo Pole</t>
  </si>
  <si>
    <t>https://www.facebook.com/pivnice.zubata.zaba</t>
  </si>
  <si>
    <t>https://goo.gl/ai46os</t>
  </si>
  <si>
    <t>N 49°13.210' E 16°35.606'</t>
  </si>
  <si>
    <t>Zubatý pes</t>
  </si>
  <si>
    <t>K Botiči 409/2, Praha 10 - Vršovice</t>
  </si>
  <si>
    <t>http://www.zubatypes.cz</t>
  </si>
  <si>
    <t>https://www.facebook.com/BarZubatypes</t>
  </si>
  <si>
    <t>https://goo.gl/257VY7</t>
  </si>
  <si>
    <t>multipípa; zahraniční piva; pivotéka</t>
  </si>
  <si>
    <t>N 50°3.83402', E 14°27.18907'</t>
  </si>
  <si>
    <t>Pivní přístav</t>
  </si>
  <si>
    <t>Rašínovo nábřeží 1781/64, Praha 2 - Nové Město</t>
  </si>
  <si>
    <t>https://www.facebook.com/pivnipristav</t>
  </si>
  <si>
    <t>https://goo.gl/qhXfLh</t>
  </si>
  <si>
    <t>N 50°4.42262', E 14°24.84692'</t>
  </si>
  <si>
    <t>U Matýska</t>
  </si>
  <si>
    <t>Hornická 835/23, Ivančice</t>
  </si>
  <si>
    <t>N 49°6.41670', E 16°22.17980'</t>
  </si>
  <si>
    <t>Roesel</t>
  </si>
  <si>
    <t>Mostecká 45/20, Praha 1 - Malá Strana</t>
  </si>
  <si>
    <t>https://www.facebook.com/pg/roesel.beer.cake</t>
  </si>
  <si>
    <t>N 50°5.24822', E 14°24.34465'</t>
  </si>
  <si>
    <t>Good Beer</t>
  </si>
  <si>
    <t>Denisova 271/6, Olomouc</t>
  </si>
  <si>
    <t>http://www.goodbeerclub.cz</t>
  </si>
  <si>
    <t>https://www.facebook.com/GoodBeerClubCZ</t>
  </si>
  <si>
    <t>https://goo.gl/NS7qEa</t>
  </si>
  <si>
    <t>N 49°35.71790', E 17°15.26707'</t>
  </si>
  <si>
    <t>Hotel Gold</t>
  </si>
  <si>
    <t>Táborská 68, Chotoviny</t>
  </si>
  <si>
    <t>https://www.hotelchotoviny.cz</t>
  </si>
  <si>
    <t>https://www.facebook.com/hotelgoldchotoviny.cz</t>
  </si>
  <si>
    <t>N 49°28.43635', E 14°40.49153'</t>
  </si>
  <si>
    <t>http://www.ochutnavkovapivnice.cz</t>
  </si>
  <si>
    <t>U zámku</t>
  </si>
  <si>
    <t>U Parku 15, Chotoviny</t>
  </si>
  <si>
    <t>N 49°28.67670', E 14°40.81268'</t>
  </si>
  <si>
    <t>Bistrot de Papa</t>
  </si>
  <si>
    <t>Horní Dubenky 25, Horní Dubenky</t>
  </si>
  <si>
    <t>http://bistrotdepapa.cz</t>
  </si>
  <si>
    <t>https://www.facebook.com/bistrotdepapa</t>
  </si>
  <si>
    <t>N 49°15.60277', E 15°19.28115'</t>
  </si>
  <si>
    <t>Horní Dvorce</t>
  </si>
  <si>
    <t>Horní Dvorce 22, Zahrádky - Horní Dvorce</t>
  </si>
  <si>
    <t>http://www.hornidvorce.cz</t>
  </si>
  <si>
    <t>N 49°11.13642', E 15°14.49235'</t>
  </si>
  <si>
    <t>Hostinův důl</t>
  </si>
  <si>
    <t>Tršice</t>
  </si>
  <si>
    <t>Tršice 351, Tršice</t>
  </si>
  <si>
    <t>http://www.jezdeckyareal.cz</t>
  </si>
  <si>
    <t>N 49°32.71122', E 17°26.34218'</t>
  </si>
  <si>
    <t>Local Lokal</t>
  </si>
  <si>
    <t>Zeyerova 809/17, Olomouc - Hodolany</t>
  </si>
  <si>
    <t>https://www.facebook.com/LOCAL-LOKAL-industry-pub-298386737227462</t>
  </si>
  <si>
    <t>https://goo.gl/2XrQrp</t>
  </si>
  <si>
    <t>N 49°35.64087', E 17°16.40608'</t>
  </si>
  <si>
    <t>Bufet Brtnice</t>
  </si>
  <si>
    <t>nám. Svobody 259, Brtnice</t>
  </si>
  <si>
    <t>https://www.facebook.com/pg/brtnickybufet</t>
  </si>
  <si>
    <t>N 49°18.27293', E 15°40.71683'</t>
  </si>
  <si>
    <t>U čápa</t>
  </si>
  <si>
    <t>Záhlinice 38, Hulín - Záhlinice</t>
  </si>
  <si>
    <t>N 49°17.44442', E 17°29.22348'</t>
  </si>
  <si>
    <t>Na Humpolce</t>
  </si>
  <si>
    <t>Brněnská 184, Tišnov</t>
  </si>
  <si>
    <t>http://www.nahumpolce.cz</t>
  </si>
  <si>
    <t>https://www.facebook.com/humpolka</t>
  </si>
  <si>
    <t>https://goo.gl/wpTxKS</t>
  </si>
  <si>
    <t>N 49°20.71538', E 16°25.49700'</t>
  </si>
  <si>
    <t>Sklep</t>
  </si>
  <si>
    <t>Jungmannova 86, Tišnov</t>
  </si>
  <si>
    <t>http://www.gastrosklep.cz</t>
  </si>
  <si>
    <t>s lázní mikve</t>
  </si>
  <si>
    <t>N 49°20.96565', E 16°25.22325'</t>
  </si>
  <si>
    <t>Na terase</t>
  </si>
  <si>
    <t>http://www.gastrosklep.cz/Na-Terase</t>
  </si>
  <si>
    <t>N 49°20.52840'. E 16°26.10267'</t>
  </si>
  <si>
    <t>Aldersbacher, various</t>
  </si>
  <si>
    <t>Na Staré</t>
  </si>
  <si>
    <t>Želeč</t>
  </si>
  <si>
    <t>Želeč 65, Želeč</t>
  </si>
  <si>
    <t>https://www.nastarezelec.cz</t>
  </si>
  <si>
    <t>N 49°19.09653', E 14°38.82555'</t>
  </si>
  <si>
    <t>U Kacetlů</t>
  </si>
  <si>
    <t>Tasovice</t>
  </si>
  <si>
    <t>Tasovice 62, Tasovice</t>
  </si>
  <si>
    <t>http://pivnice-u-kacetlu.webnode.cz</t>
  </si>
  <si>
    <t>https://www.facebook.com/u.kacetlu</t>
  </si>
  <si>
    <t>https://goo.gl/N2ZjzN</t>
  </si>
  <si>
    <t>N 48°50.42820', E 16°9.44388'</t>
  </si>
  <si>
    <t>Kulturní dům</t>
  </si>
  <si>
    <t>Jílovice 166, Jílovice</t>
  </si>
  <si>
    <t>N 48°53.30787', E 14°43.60120'</t>
  </si>
  <si>
    <t>Pivoňka</t>
  </si>
  <si>
    <t>U Zelené ratolesti 232, Český Krumlov - Plešivec</t>
  </si>
  <si>
    <t>http://www.rizekprespultalire.cz/pivonka</t>
  </si>
  <si>
    <t>https://www.facebook.com/restauracepivonka</t>
  </si>
  <si>
    <t>https://goo.gl/ahFJD1</t>
  </si>
  <si>
    <t>N 48°48.26875', E 14°18.70058'</t>
  </si>
  <si>
    <t>Na Tý louce zelený</t>
  </si>
  <si>
    <t>K Zelené louce 451, Praha-Kunratice - Kunratice</t>
  </si>
  <si>
    <t>http://www.natyloucezeleny.cz</t>
  </si>
  <si>
    <t>N 50°1.43470', E 14°27.97595'</t>
  </si>
  <si>
    <t>U Studánky</t>
  </si>
  <si>
    <t>K jelenám 1278, Praha-Kunratice - Kunratice</t>
  </si>
  <si>
    <t>http://www.hospudkaustudanky.cz</t>
  </si>
  <si>
    <t>https://www.facebook.com/HospudkaUStudanky</t>
  </si>
  <si>
    <t>https://goo.gl/gSuu3N</t>
  </si>
  <si>
    <t>Kunratice, různá</t>
  </si>
  <si>
    <t>N 50°0.86180', E 14°29.67203'</t>
  </si>
  <si>
    <t>U vysoké brány</t>
  </si>
  <si>
    <t>Vysoká 269, Rakovník - Rakovník I</t>
  </si>
  <si>
    <t>https://www.facebook.com/SenkUVysokeBranyRakovnik</t>
  </si>
  <si>
    <t>N 50°6.34452', E 13°43.91743'</t>
  </si>
  <si>
    <t>Pizza cafe</t>
  </si>
  <si>
    <t>Karlovarská 98, Řevničov</t>
  </si>
  <si>
    <t>http://www.revnicov.pizza</t>
  </si>
  <si>
    <t>N 50°11.03943', E 13°48.46333'</t>
  </si>
  <si>
    <t>Galerka</t>
  </si>
  <si>
    <t>Bělehradská 1187/44, Praha 2 - Vinohrady</t>
  </si>
  <si>
    <t>http://valaskovi.cz/galerka</t>
  </si>
  <si>
    <t>https://www.facebook.com/Galerka-1124749657645359</t>
  </si>
  <si>
    <t>https://goo.gl/LeQWD5</t>
  </si>
  <si>
    <t>N 50°4.09980', E 14°25.99285'</t>
  </si>
  <si>
    <t>Zelená Kočka Pivovarský restaurant</t>
  </si>
  <si>
    <t>Solniční 145/8, Brno-střed - Brno-město</t>
  </si>
  <si>
    <t>Piva z pivovarské skupiny Czech Craft Beers</t>
  </si>
  <si>
    <t>Moravia, různá</t>
  </si>
  <si>
    <t>N 49°11.81773', E 16°36.35380'</t>
  </si>
  <si>
    <t>Zelená Kočka Grand restaurant</t>
  </si>
  <si>
    <t>Kounicova 57/83, Brno - Žabovřesky</t>
  </si>
  <si>
    <t>N 49°12.71375', E 16°35.55118'</t>
  </si>
  <si>
    <t>Jazz Tibet</t>
  </si>
  <si>
    <t>Sokolská 551/48, Olomouc</t>
  </si>
  <si>
    <t>http://www.jazztibet.cz</t>
  </si>
  <si>
    <t>https://www.facebook.com/jazztibet.bar</t>
  </si>
  <si>
    <t>N 49°35.77303', E 17°15.16492'</t>
  </si>
  <si>
    <t>Klid v ruchu</t>
  </si>
  <si>
    <t>Pekární 26, Olomouc</t>
  </si>
  <si>
    <t>https://www.letnikinoolomouc.cz</t>
  </si>
  <si>
    <t>https://www.facebook.com/OLOMOUC.LETNI.KINO</t>
  </si>
  <si>
    <t>N 49°35.85915', E 17°15.59587'</t>
  </si>
  <si>
    <t>Sportbar 66</t>
  </si>
  <si>
    <t>Sternberg</t>
  </si>
  <si>
    <t>Šternberk</t>
  </si>
  <si>
    <t>Nádražní 2481/47, Šternberk</t>
  </si>
  <si>
    <t>https://www.facebook.com/Sportbar66</t>
  </si>
  <si>
    <t>https://goo.gl/rJubmA</t>
  </si>
  <si>
    <t>Pivo z létajícího pivovaru</t>
  </si>
  <si>
    <t>N 49°43.37442', E 17°17.49467'</t>
  </si>
  <si>
    <t>5 Lišek</t>
  </si>
  <si>
    <t>Sternbeer</t>
  </si>
  <si>
    <t>Bezručova 1166/14, Šternberk</t>
  </si>
  <si>
    <t>http://www.5lisek.cz</t>
  </si>
  <si>
    <t>https://www.facebook.com/irishpub5lisek</t>
  </si>
  <si>
    <t>https://goo.gl/b4v7Fi</t>
  </si>
  <si>
    <t>Stern</t>
  </si>
  <si>
    <t>N 49°43.68100', E 17°17.81298'</t>
  </si>
  <si>
    <t>Na Farmě</t>
  </si>
  <si>
    <t>Suchdolský Jeník</t>
  </si>
  <si>
    <t>Praha - Suchdol</t>
  </si>
  <si>
    <t>Kamýcká 1150, Praha-Suchdol - Suchdol</t>
  </si>
  <si>
    <t>https://pivniraj.com</t>
  </si>
  <si>
    <t>http://www.nafarme.cz</t>
  </si>
  <si>
    <t>https://goo.gl/nPn3Yq</t>
  </si>
  <si>
    <t>Pivo vařené na České zemědělské univerzitě</t>
  </si>
  <si>
    <t>N 50°7.83990', E 14°22.52775'</t>
  </si>
  <si>
    <t>Na stojáka</t>
  </si>
  <si>
    <t>Horní náměstí 202/15, Olomouc</t>
  </si>
  <si>
    <t>Rudolf III. (?), various</t>
  </si>
  <si>
    <t>http://www.olomouc.beer</t>
  </si>
  <si>
    <t>https://www.facebook.com/BeerBarOlomouc</t>
  </si>
  <si>
    <t>https://goo.gl/bZnZ78</t>
  </si>
  <si>
    <t>N 49°35.62012', E 17°15.13060'</t>
  </si>
  <si>
    <t>Retro pivnice</t>
  </si>
  <si>
    <t>Havlíčkova 661/11, Olomouc</t>
  </si>
  <si>
    <t>http://www.retropivnice.cz</t>
  </si>
  <si>
    <t>https://www.facebook.com/RetroPivnice</t>
  </si>
  <si>
    <t>https://goo.gl/VW23x3</t>
  </si>
  <si>
    <t>N 49°35.46408', E 17°14.91793'</t>
  </si>
  <si>
    <t>Pivotéka Hranice</t>
  </si>
  <si>
    <t>Hranice na Moravě</t>
  </si>
  <si>
    <t>Komenského 380, Hranice I - Město</t>
  </si>
  <si>
    <t>http://pivoteka-hranice.cz</t>
  </si>
  <si>
    <t>https://www.facebook.com/pivotekahranice</t>
  </si>
  <si>
    <t>https://goo.gl/sC9jYS</t>
  </si>
  <si>
    <t>Pivotéka, vinotéka, s posezením a čepovaným pivem</t>
  </si>
  <si>
    <t>N 49°33.01200', E 17°44.16597'</t>
  </si>
  <si>
    <t>Staré časy</t>
  </si>
  <si>
    <t>http://www.starecasyhorice.cz</t>
  </si>
  <si>
    <t>https://www.facebook.com/Restaurace-Staré-Časy-294478984369699</t>
  </si>
  <si>
    <t>N 50°22.18910', E 15°38.28147'</t>
  </si>
  <si>
    <t>Diego</t>
  </si>
  <si>
    <t>Sokolovská 467/114, Praha 8 - Karlín</t>
  </si>
  <si>
    <t>https://www.facebook.com/diegopivnibar</t>
  </si>
  <si>
    <t>https://goo.gl/r6ptbq</t>
  </si>
  <si>
    <t>N 50°5.68188', E 14°27.31442'</t>
  </si>
  <si>
    <t>Radegastovna Bruntál</t>
  </si>
  <si>
    <t>nám. Míru 47/17, Bruntál</t>
  </si>
  <si>
    <t>http://www.radegastovna.cz/bruntal</t>
  </si>
  <si>
    <t>https://www.facebook.com/Radegastovna-Bruntál-1868008140153174</t>
  </si>
  <si>
    <t>N 49°59.31943', E 17°27.87782'</t>
  </si>
  <si>
    <t>Galerie piva</t>
  </si>
  <si>
    <t>Krymská 138/36, Praha 10 - Vršovice</t>
  </si>
  <si>
    <t>http://www.galeriepiva.cz</t>
  </si>
  <si>
    <t>https://www.facebook.com/GaleriePiva</t>
  </si>
  <si>
    <t>https://goo.gl/wkApvk</t>
  </si>
  <si>
    <t>N 50°4.23592', E 14°27.05203'</t>
  </si>
  <si>
    <t>Pivovar Bubeneč</t>
  </si>
  <si>
    <t>Praha - Bubeneč</t>
  </si>
  <si>
    <t>Bubenečská 321/33, Praha 6 - Bubeneč</t>
  </si>
  <si>
    <t>https://www.facebook.com/Pivovar-Bubene%C4%8D-1777268915880323</t>
  </si>
  <si>
    <t>https://goo.gl/VfPsu8</t>
  </si>
  <si>
    <t>multipípa; budoucí pivovar</t>
  </si>
  <si>
    <t>Bubenečský (vařeno v Podřipském), různá</t>
  </si>
  <si>
    <t>N 50°6.07360', E 14°24.26947'</t>
  </si>
  <si>
    <t>Husté Café</t>
  </si>
  <si>
    <t>Hustopeče nad Bečvou</t>
  </si>
  <si>
    <t>náměstí Míru 21, Hustopeče nad Bečvou</t>
  </si>
  <si>
    <t>https://www.huste.cafe</t>
  </si>
  <si>
    <t>https://www.facebook.com/HustopecskyPivovar</t>
  </si>
  <si>
    <t>Pivo budoucího Zámeckého pivovaru Hustopeče od majitelů pivovaru Kohutka</t>
  </si>
  <si>
    <t>Hustý (Kohutka)</t>
  </si>
  <si>
    <t>N 49°31.80822', E 17°52.35492'</t>
  </si>
  <si>
    <t>Radegastovna Kolbenka</t>
  </si>
  <si>
    <t>Praha - Vysočany</t>
  </si>
  <si>
    <t>Kolbenova 659/16, Praha 9 - Vysočany</t>
  </si>
  <si>
    <t>http://www.radegastovna.cz/kolbenka</t>
  </si>
  <si>
    <t>https://www.facebook.com/radegastovnakolbenova</t>
  </si>
  <si>
    <t>N 50°6.63418', E 14°30.38873'</t>
  </si>
  <si>
    <t>U České koruny</t>
  </si>
  <si>
    <t>Zbraslavice 125, Zbraslavice</t>
  </si>
  <si>
    <t>N 49°48.63298', E 15°11.03253'</t>
  </si>
  <si>
    <t>Havířská bouda</t>
  </si>
  <si>
    <t>Kutná Hora - Sedlec</t>
  </si>
  <si>
    <t>Sedlec 35, Kutná Hora - Sedlec</t>
  </si>
  <si>
    <t>http://www.havirskabouda.cz</t>
  </si>
  <si>
    <t>https://www.facebook.com/RozhlednaNaKanku</t>
  </si>
  <si>
    <t>N 49°58.25460', E 15°17.11303'</t>
  </si>
  <si>
    <t>Na Spojce</t>
  </si>
  <si>
    <t>Lidická tř. 1009/162, České Budějovice - České Budějovice 7</t>
  </si>
  <si>
    <t>https://www.facebook.com/HostinecNaSpojce</t>
  </si>
  <si>
    <t>N 48°57.31098', E 14°28.10113'</t>
  </si>
  <si>
    <t>Hnízdo</t>
  </si>
  <si>
    <t>Široká 435/15, České Budějovice - České Budějovice 1</t>
  </si>
  <si>
    <t>https://www.facebook.com/BarHnizdo</t>
  </si>
  <si>
    <t>N 48°58.38343', E 14°28.45680'</t>
  </si>
  <si>
    <t>The 27 Music bar</t>
  </si>
  <si>
    <t>Školní 206/24, Prostějov</t>
  </si>
  <si>
    <t>https://www.facebook.com/groups/102339361544</t>
  </si>
  <si>
    <t>Bernard, Z-Stage</t>
  </si>
  <si>
    <t>N 49°28.39150', E 17°6.71680'</t>
  </si>
  <si>
    <t>Hotel Portáš</t>
  </si>
  <si>
    <t>Nový Hrozenkov</t>
  </si>
  <si>
    <t>Nový Hrozenkov 244, Nový Hrozenkov</t>
  </si>
  <si>
    <t>https://www.hotelportas.cz</t>
  </si>
  <si>
    <t>https://www.facebook.com/hotelportas</t>
  </si>
  <si>
    <t>N 49°17.69130', E 18°14.72612'</t>
  </si>
  <si>
    <t>Šlapanice č.p. 50</t>
  </si>
  <si>
    <t>Jiráskova 999/50, Šlapanice</t>
  </si>
  <si>
    <t>https://goo.gl/3rKqfN</t>
  </si>
  <si>
    <t>N 49°9.58688', E 16°43.57475'</t>
  </si>
  <si>
    <t>Neratovská hospoda</t>
  </si>
  <si>
    <t>Bartošovice v Orlických horách 86, Bartošovice v Orlických horách</t>
  </si>
  <si>
    <t>https://www.neratov.cz</t>
  </si>
  <si>
    <t>N 50°12.84598', E 16°33.10597'</t>
  </si>
  <si>
    <t>Pivoztečky (Krušnohor), various</t>
  </si>
  <si>
    <t>Škroupovo nám. 126/12, Česká Lípa</t>
  </si>
  <si>
    <t>https://www.facebook.com/barkocour</t>
  </si>
  <si>
    <t>N 50°41.16120', E 14°32.23143'</t>
  </si>
  <si>
    <t>KriZe</t>
  </si>
  <si>
    <t>Sokolská 1269/22, Znojmo</t>
  </si>
  <si>
    <t>http://www.barkrize.cz</t>
  </si>
  <si>
    <t>https://www.facebook.com/BarKrize</t>
  </si>
  <si>
    <t>N 48°51.52335', E 16°3.20952'</t>
  </si>
  <si>
    <t>TeraZa u Rotundy</t>
  </si>
  <si>
    <t>Hradní 83/7, Znojmo</t>
  </si>
  <si>
    <t>http://www.teraza.cz</t>
  </si>
  <si>
    <t>https://www.facebook.com/Znojemské-pivo-103569090358283</t>
  </si>
  <si>
    <t>stánkový prodej</t>
  </si>
  <si>
    <t>N 48°51.31357', E 16°2.57597'</t>
  </si>
  <si>
    <t>Na Náměstíčku</t>
  </si>
  <si>
    <t>Prokopa Holého 1393/4, Most</t>
  </si>
  <si>
    <t>https://www.facebook.com/umachyho</t>
  </si>
  <si>
    <t>rotující pípa</t>
  </si>
  <si>
    <t>Kahan, Ossegg</t>
  </si>
  <si>
    <t>pivotéka; obchod s pivovarskými potřebami; rotující pípy</t>
  </si>
  <si>
    <t>N 50°30.72545', E 13°37.83882'</t>
  </si>
  <si>
    <t>Beskydské, Koníček, Šenov, various</t>
  </si>
  <si>
    <t>U Zamastilů</t>
  </si>
  <si>
    <t>Pardubice - Ohrazenice</t>
  </si>
  <si>
    <t>Hradišťská 299, Pardubice VII - Ohrazenice</t>
  </si>
  <si>
    <t>https://www.facebook.com/Zamastilovi</t>
  </si>
  <si>
    <t>https://goo.gl/Y5LrNT</t>
  </si>
  <si>
    <t>N 50°3.74630', E 15°45.49338'</t>
  </si>
  <si>
    <t>Efko</t>
  </si>
  <si>
    <t>nám. Republiky 778, Studénka - Butovice</t>
  </si>
  <si>
    <t>https://www.facebook.com/Vin%C3%A1rna-Efko-1525509024375604</t>
  </si>
  <si>
    <t>N 49°42.89807', E 18°3.21428'</t>
  </si>
  <si>
    <t xml:space="preserve"> Francouzská 400/112, Praha 10 - Vršovice</t>
  </si>
  <si>
    <t>https://www.facebook.com/pivnicepivovarutrilobit</t>
  </si>
  <si>
    <t>N 50°4.31270', E 14°27.01393'</t>
  </si>
  <si>
    <t>Náchodský mlýn</t>
  </si>
  <si>
    <t>Bílkova 2, Náchod - Staré Město nad Metují</t>
  </si>
  <si>
    <t>N 50°24.45347', E 16°9.43808'</t>
  </si>
  <si>
    <t>Čertovka</t>
  </si>
  <si>
    <t>Náchod - Lipí</t>
  </si>
  <si>
    <t>Lipí 36, Náchod - Lipí</t>
  </si>
  <si>
    <t>http://www.peklo-nemecek.cz</t>
  </si>
  <si>
    <t>https://www.facebook.com/certovka.cz</t>
  </si>
  <si>
    <t>N 50°22.75315', E 16°11.11670'</t>
  </si>
  <si>
    <t>V Bražci</t>
  </si>
  <si>
    <t>Náchod - Bražec</t>
  </si>
  <si>
    <t>Bražecká 86, Náchod - Bražec</t>
  </si>
  <si>
    <t>http://www.hospudkavbrazci.cz</t>
  </si>
  <si>
    <t>https://www.facebook.com/www.hospudkavbrazci.cz</t>
  </si>
  <si>
    <t>N 50°23.84270', E 16°9.26615'</t>
  </si>
  <si>
    <t>U Beránka</t>
  </si>
  <si>
    <t>Masarykovo náměstí 74, Náchod</t>
  </si>
  <si>
    <t>http://www.hotel-beranek.com</t>
  </si>
  <si>
    <t>https://www.facebook.com/hoteluberanka</t>
  </si>
  <si>
    <t>N 50°25.03327', E 16°9.72680'</t>
  </si>
  <si>
    <t>Port Artur</t>
  </si>
  <si>
    <t>Purkyňova 473, Náchod</t>
  </si>
  <si>
    <t>N 50°24.75450', E 16°10.12023'</t>
  </si>
  <si>
    <t>Sport</t>
  </si>
  <si>
    <t>Běloveská 900, Náchod</t>
  </si>
  <si>
    <t>N 50°24.98898', E 16°10.24258'</t>
  </si>
  <si>
    <t>Turbína</t>
  </si>
  <si>
    <t>Sokolská 1320/62, Boskovice</t>
  </si>
  <si>
    <t>https://www.facebook.com/turbinaclub</t>
  </si>
  <si>
    <t>N 49°29.55430', E 16°39.19225'</t>
  </si>
  <si>
    <t>Srdcovka U skleničky</t>
  </si>
  <si>
    <t>Gambrinus</t>
  </si>
  <si>
    <t>Otrokovice - Kvítkovice</t>
  </si>
  <si>
    <t>SNP 1155, Otrokovice - Kvítkovice</t>
  </si>
  <si>
    <t>http://www.gambrinus.cz/srdcovka/u-sklenicky</t>
  </si>
  <si>
    <t>https://www.facebook.com/srdcovkausklenicky</t>
  </si>
  <si>
    <t>https://goo.gl/BmQPnA</t>
  </si>
  <si>
    <t>N 49°12.08737', E 17°32.74073'</t>
  </si>
  <si>
    <t>Srdcovka Gurmania</t>
  </si>
  <si>
    <t>Rozkošného 895/6, Praha 5 - Smíchov</t>
  </si>
  <si>
    <t>http://www.gambrinus.cz/srdcovka/gurmania</t>
  </si>
  <si>
    <t>https://www.facebook.com/SrdcovkaGurmania</t>
  </si>
  <si>
    <t>N 50°3.71627', E 14°24.57795'</t>
  </si>
  <si>
    <t>Masné krámy</t>
  </si>
  <si>
    <t>Krajinská 29/13, České Budějovice - České Budějovice 1</t>
  </si>
  <si>
    <t>https://www.masne-kramy.cz</t>
  </si>
  <si>
    <t>N 48°58.55438', E 14°28.41660'</t>
  </si>
  <si>
    <t>Budvarka Litoměřice</t>
  </si>
  <si>
    <t>Lidická 58/13, Litoměřice - Město</t>
  </si>
  <si>
    <t>http://www.budvarkalitomerice.cz</t>
  </si>
  <si>
    <t>https://www.facebook.com/budvarkalitomerice</t>
  </si>
  <si>
    <t>N 50°32.12228', E 14°7.80253'</t>
  </si>
  <si>
    <t>Budvarka U Zlatého lva</t>
  </si>
  <si>
    <t>Žižkovo nám. 16/16, Tábor</t>
  </si>
  <si>
    <t>https://www.facebook.com/zlatylevtabor.cz</t>
  </si>
  <si>
    <t>N 49°24.82362', E 14°39.53347'</t>
  </si>
  <si>
    <t>Budvarka Hodonín</t>
  </si>
  <si>
    <t>Měšťanská 1174/10, Hodonín</t>
  </si>
  <si>
    <t>http://www.budvarka-hodonin.cz</t>
  </si>
  <si>
    <t>https://www.facebook.com/budvarkahodonin</t>
  </si>
  <si>
    <t>N 48°51.13163', E 17°7.88272'</t>
  </si>
  <si>
    <t>Budvarka U Radnice</t>
  </si>
  <si>
    <t>Zámecká 109, Kolín - Kolín I</t>
  </si>
  <si>
    <t>https://www.budvarka-kolin.cz</t>
  </si>
  <si>
    <t>https://www.facebook.com/Restaurace-U-Radnice-Original-Budvarka-255798264465656</t>
  </si>
  <si>
    <t>N 50°1.73833', E 15°12.04063'</t>
  </si>
  <si>
    <t>Srdcovka Corso</t>
  </si>
  <si>
    <t>Kopeckého sady 313/12, Plzeň 3 - Vnitřní Město</t>
  </si>
  <si>
    <t>https://www.facebook.com/SrdcovkaCorso</t>
  </si>
  <si>
    <t>N 49°44.70772', E 13°22.58755'</t>
  </si>
  <si>
    <t>Molo</t>
  </si>
  <si>
    <t>Slovácký</t>
  </si>
  <si>
    <t>Strážnice</t>
  </si>
  <si>
    <t>Bzenecká 1902, Strážnice</t>
  </si>
  <si>
    <t>https://www.facebook.com/P%C5%99%C3%ADstavn%C3%AD-kr%C4%8Dma-Molo-121257961782661</t>
  </si>
  <si>
    <t>https://goo.gl/mWW1mC</t>
  </si>
  <si>
    <t>N 48°54.22268', E 17°18.78647'</t>
  </si>
  <si>
    <t>Kanteena</t>
  </si>
  <si>
    <t>Hovorany</t>
  </si>
  <si>
    <t>Hovorany 442, Hovorany</t>
  </si>
  <si>
    <t>https://www.facebook.com/Kanteena-bar-tobacco-club-1371302502935692</t>
  </si>
  <si>
    <t>N 48°56.92227', E 17°0.05023'</t>
  </si>
  <si>
    <t>Přístav 18600</t>
  </si>
  <si>
    <t>Karlínský</t>
  </si>
  <si>
    <t>Za Karlínským přístavem, Praha 8 - Karlín</t>
  </si>
  <si>
    <t>http://18600.cz</t>
  </si>
  <si>
    <t>https://www.facebook.com/pristav18600</t>
  </si>
  <si>
    <t>https://goo.gl/noqqRA</t>
  </si>
  <si>
    <t>Kavárna s pivem vařeným v Kunratickém pivovaru</t>
  </si>
  <si>
    <t>Karlínský (Kunratický)</t>
  </si>
  <si>
    <t>N 50°5.76102', E 14°26.87538'</t>
  </si>
  <si>
    <t>Času dost</t>
  </si>
  <si>
    <t>17. listopadu 2/2, Praha 1 - Josefov</t>
  </si>
  <si>
    <t>https://www.facebook.com/Času-dost-cafe-restaurant-1976482732631407</t>
  </si>
  <si>
    <t>N 50°5.37392', E 14°24.97888'</t>
  </si>
  <si>
    <t>Bar Behind the Curtain</t>
  </si>
  <si>
    <t>Isao</t>
  </si>
  <si>
    <t>Štítného 710/30, Praha 3 - Žižkov</t>
  </si>
  <si>
    <t>https://www.facebook.com/barbehindthecurtain</t>
  </si>
  <si>
    <t>https://goo.gl/D3M3yA</t>
  </si>
  <si>
    <t>N 50°5.10342', E 14°27.10585'</t>
  </si>
  <si>
    <t>Altán</t>
  </si>
  <si>
    <t>Park Výstaviště, Mladá Boleslav II</t>
  </si>
  <si>
    <t>https://www.facebook.com/Alt%C3%A1n-caf%C3%A9-gril-bar-327284021049538/</t>
  </si>
  <si>
    <t>https://goo.gl/FqF2sc</t>
  </si>
  <si>
    <t>N 50°24.93713', E 14°54.48155'</t>
  </si>
  <si>
    <t>Kozlovna U Kabelky</t>
  </si>
  <si>
    <t>Moskevská 3114, Kladno</t>
  </si>
  <si>
    <t>http://www.kozlovna.cz/u-kabelky</t>
  </si>
  <si>
    <t>https://www.facebook.com/Kozlovna-U-Kabelky-226976744505586/</t>
  </si>
  <si>
    <t>Provozuje Fr. Kaberle</t>
  </si>
  <si>
    <t>N 50°8.35753', E 14°4.35558'</t>
  </si>
  <si>
    <t>Baštecká koštovna</t>
  </si>
  <si>
    <t>N 50°0.60537', E 15°17.53253'</t>
  </si>
  <si>
    <t>Gočár, Kotěra (Břevnovský), various</t>
  </si>
  <si>
    <t>Beer knír</t>
  </si>
  <si>
    <t>V olšinách 1025/29, Praha 10 - Vršovice</t>
  </si>
  <si>
    <t>http://beerknir.cz</t>
  </si>
  <si>
    <t>https://www.facebook.com/Beerknir</t>
  </si>
  <si>
    <t>https://goo.gl/e3tMkh</t>
  </si>
  <si>
    <t>N 50°4.28188', E 14°29.05538'</t>
  </si>
  <si>
    <t>U Welzla</t>
  </si>
  <si>
    <t>U Nádraží 1626/6, Zábřeh</t>
  </si>
  <si>
    <t>https://nadrazni-restaurace-u-welzla.webnode.cz/</t>
  </si>
  <si>
    <t>https://www.facebook.com/Nádražní-restaurace-U-Welzla--385974671770672</t>
  </si>
  <si>
    <t>N 49°52.35242', E 16°53.22168'</t>
  </si>
  <si>
    <t>Stračena pub 2</t>
  </si>
  <si>
    <t>http://pustkovec.stracenapub.cz</t>
  </si>
  <si>
    <t>https://www.facebook.com/Stracenapub2</t>
  </si>
  <si>
    <t>N 49°50.32295', E 18°9.78125'</t>
  </si>
  <si>
    <t>V břiše velryby</t>
  </si>
  <si>
    <t>Na Kozině 9, Mladá Boleslav</t>
  </si>
  <si>
    <t>http://www.minipivovar-ujkovice.cz/kavarna-v-brise-velryby</t>
  </si>
  <si>
    <t>https://www.facebook.com/vbrisevelryby</t>
  </si>
  <si>
    <t>Kavárna majitelů pivovaru Slepý krtek</t>
  </si>
  <si>
    <t>N 50°24.67758', E 14°54.38135'</t>
  </si>
  <si>
    <t>Hospůdka Prdek</t>
  </si>
  <si>
    <t>Restaurace v chatě Na Perlíčku</t>
  </si>
  <si>
    <t>N 50°43.49890', E 15°22.65357'</t>
  </si>
  <si>
    <t>Pivní klub Modrá hvězda</t>
  </si>
  <si>
    <t>Klatovská třída 430/25, Plzeň</t>
  </si>
  <si>
    <t>http://pivovarmodrahvezda.cz/pivni-klub-modra-hvezda</t>
  </si>
  <si>
    <t>https://www.facebook.com/pivniklubmodrahvezda</t>
  </si>
  <si>
    <t>N 49°43.96045', E 13°22.22678'</t>
  </si>
  <si>
    <t>Klášterní sýpka</t>
  </si>
  <si>
    <t>Markétská 1/28, Praha 6 - Břevnov</t>
  </si>
  <si>
    <t>https://www.brevnov.cz/cs/klasterni-sypka</t>
  </si>
  <si>
    <t>https://www.facebook.com/Brevnovskypivovar</t>
  </si>
  <si>
    <t>N 50°5.04287', E 14°21.35187'</t>
  </si>
  <si>
    <t>Ve dvoře</t>
  </si>
  <si>
    <t>náměstí T.G. Masaryka 80, Dvůr Králové nad Labem</t>
  </si>
  <si>
    <t>http://www.baroquevedvore.cz</t>
  </si>
  <si>
    <t>https://www.facebook.com/vedvore.cz</t>
  </si>
  <si>
    <t>https://goo.gl/88NF9e</t>
  </si>
  <si>
    <t>N 50°25.89278', E 15°48.79268'</t>
  </si>
  <si>
    <t>Bernard Pub Cesta Časem</t>
  </si>
  <si>
    <t>Na Kocínce 210/3, Praha 6</t>
  </si>
  <si>
    <t>https://www.bernardpub.cz/pub/cesta-casem</t>
  </si>
  <si>
    <t>N 50°6.38097', E 14°23.20847'</t>
  </si>
  <si>
    <t>Bernard Pub Anděl</t>
  </si>
  <si>
    <t>Radlická 112/22, Praha 5</t>
  </si>
  <si>
    <t>https://www.bernardpub.cz/pub/andel</t>
  </si>
  <si>
    <t>N 50°4.11968', E 14°24.09613'</t>
  </si>
  <si>
    <t>Bernard Pub Bruselská</t>
  </si>
  <si>
    <t>Bruselská 328/8, Praha 2</t>
  </si>
  <si>
    <t>https://www.bernardpub.cz/pub/bruselska</t>
  </si>
  <si>
    <t>https://www.facebook.com/bernardpubbruselska</t>
  </si>
  <si>
    <t>N 50°4.33523', E 14°26.07105'</t>
  </si>
  <si>
    <t>Bernard Pub Jeseniova</t>
  </si>
  <si>
    <t>Jeseniova 93, Praha 3</t>
  </si>
  <si>
    <t>https://www.bernardpub.cz/pub/jeseniova</t>
  </si>
  <si>
    <t>https://www.facebook.com/Bernardpubjeseniova</t>
  </si>
  <si>
    <t>N 50°5.31405', E 14°28.15568'</t>
  </si>
  <si>
    <t>Bernard Pub U Bílého lva</t>
  </si>
  <si>
    <t>Bělohorská 79, Praha 6</t>
  </si>
  <si>
    <t>https://www.bernardpub.cz/pub/u-bileho-lva</t>
  </si>
  <si>
    <t>N 50°5.02972', E 14°22.17363'</t>
  </si>
  <si>
    <t>Bernard Pub U Jezera</t>
  </si>
  <si>
    <t>U Jezera 11, Praha 13</t>
  </si>
  <si>
    <t>https://www.bernardpub.cz/pub/u-jezera</t>
  </si>
  <si>
    <t>https://www.facebook.com/bernardpubujezera</t>
  </si>
  <si>
    <t>N 50°2.81560', E 14°19.49707'</t>
  </si>
  <si>
    <t>Bernard Pub Olomouc</t>
  </si>
  <si>
    <t>Horní náměstí 18, Olomouc</t>
  </si>
  <si>
    <t>http://www.bernardbar.cz/bar/olomouc</t>
  </si>
  <si>
    <t>https://www.facebook.com/Bernard-Bar-799288226907669</t>
  </si>
  <si>
    <t>N 49°35.58370', E 17°15.07708'</t>
  </si>
  <si>
    <t>Srdcovka U Drsnejch</t>
  </si>
  <si>
    <t>Mukařovského 1985/5, Praha 13 - Stodůlky</t>
  </si>
  <si>
    <t>http://www.gambrinus.cz/srdcovka/u-drsnejch</t>
  </si>
  <si>
    <t>https://www.facebook.com/srdcovkaudrsnejch</t>
  </si>
  <si>
    <t>N 50°2.69213', E 14°19.31530'</t>
  </si>
  <si>
    <t>Družstevní dům</t>
  </si>
  <si>
    <t>Krokova 1, České Budějovice</t>
  </si>
  <si>
    <t>http://druzstevnidum.com/</t>
  </si>
  <si>
    <t>https://www.facebook.com/Dru%C5%BEstevn%C3%AD-d%C5%AFm-404185043124717</t>
  </si>
  <si>
    <t>N 48°58.21317', E 14°29.78478'</t>
  </si>
  <si>
    <t>Hamburg</t>
  </si>
  <si>
    <t>U Průhonu 54, Praha 7 - Holešovice</t>
  </si>
  <si>
    <t>http://www.restauracehamburg.cz</t>
  </si>
  <si>
    <t>N 50°6.30140', E 14°27.26122'</t>
  </si>
  <si>
    <t>Jiskra</t>
  </si>
  <si>
    <t>Dukelská 37, Strakonice</t>
  </si>
  <si>
    <t>http://www.restauracejiskra.cz/</t>
  </si>
  <si>
    <t>https://www.facebook.com/Restaurace-Jiskra-727450370600026</t>
  </si>
  <si>
    <t>N 49°15.47113', E 13°54.74533'</t>
  </si>
  <si>
    <t>Oskar</t>
  </si>
  <si>
    <t>Ruská 470, Neratovice</t>
  </si>
  <si>
    <t>https://www.oskar-neratovice.cz</t>
  </si>
  <si>
    <t>N 50°15.45127', E 14°30.95533'</t>
  </si>
  <si>
    <t>Pět peněz</t>
  </si>
  <si>
    <t>Dělnická 775/30, Praha 7 - Holešovice</t>
  </si>
  <si>
    <t>http://www.restauracepetpenez.cz</t>
  </si>
  <si>
    <t>N 50°6.18695', E 14°26.94497'</t>
  </si>
  <si>
    <t>Na Stráži 340, Strakonice</t>
  </si>
  <si>
    <t>http://www.sokolovna-restaurace.cz</t>
  </si>
  <si>
    <t>https://www.facebook.com/restauracesokolovnastrakonice</t>
  </si>
  <si>
    <t>N 49°15.71148', E 13°54.10350'</t>
  </si>
  <si>
    <t>Dobré pivo Brno</t>
  </si>
  <si>
    <t>Starobrněnská 340/14, Brno</t>
  </si>
  <si>
    <t>http://zalepsipivo.cz</t>
  </si>
  <si>
    <t>https://www.facebook.com/DobrePivoBrno</t>
  </si>
  <si>
    <t>https://goo.gl/99E619</t>
  </si>
  <si>
    <t>Hospoda majitelů létajícího pivovaru Baran</t>
  </si>
  <si>
    <t>N 49°11.55815', E 16°36.41082'</t>
  </si>
  <si>
    <t>Poštovní 155/14, Ostrava - Moravská Ostrava a Přívoz</t>
  </si>
  <si>
    <t>http://psikusy.pub</t>
  </si>
  <si>
    <t>https://www.facebook.com/Psikusypub</t>
  </si>
  <si>
    <t>N 49°50.23338', E 18°17.39722'</t>
  </si>
  <si>
    <t>Hasičárna</t>
  </si>
  <si>
    <t>Heyrovského 1725/7, Ostrava-Poruba</t>
  </si>
  <si>
    <t>http://restauracehasicarna.cz</t>
  </si>
  <si>
    <t>https://www.facebook.com/Restaurace-Hasi%C4%8D%C3%A1rna-Firehouse-PUB-185032112081303</t>
  </si>
  <si>
    <t>https://goo.gl/pbDx2t</t>
  </si>
  <si>
    <t>Hasič, Bernard</t>
  </si>
  <si>
    <t>N 49°50.50330', E 18°10.70745'</t>
  </si>
  <si>
    <t>Pivní bar Dědkův mlýn</t>
  </si>
  <si>
    <t>Praha 6 - Střešovice</t>
  </si>
  <si>
    <t>Bělohorská 158/14, Praha 6 - Střešovice</t>
  </si>
  <si>
    <t>N 50°5.15225', E 14°22.96872'</t>
  </si>
  <si>
    <t>U Josefa</t>
  </si>
  <si>
    <t>PPP</t>
  </si>
  <si>
    <t>Merklín</t>
  </si>
  <si>
    <t>1. máje 92, Merklín</t>
  </si>
  <si>
    <t>https://www.penzionmerklin.cz</t>
  </si>
  <si>
    <t>N 49°33.72933', E 13°11.83517'</t>
  </si>
  <si>
    <t>Hospoda Malovičky</t>
  </si>
  <si>
    <t>Hulvát</t>
  </si>
  <si>
    <t>Malovičky</t>
  </si>
  <si>
    <t>Malovičky 51, Malovičky</t>
  </si>
  <si>
    <t>N 49°5.77715', E 14°13.96182'</t>
  </si>
  <si>
    <t>Babylon</t>
  </si>
  <si>
    <t>Lomnické pivo</t>
  </si>
  <si>
    <t>Lomnice nad Popelkou</t>
  </si>
  <si>
    <t>Poděbradova 670, Lomnice nad Popelkou</t>
  </si>
  <si>
    <t>http://www.ubytovani-lomnice.cz</t>
  </si>
  <si>
    <t>https://goo.gl/5ZEGrG</t>
  </si>
  <si>
    <t>N 50°31.85158', E 15°22.21148'</t>
  </si>
  <si>
    <t>O.skar</t>
  </si>
  <si>
    <t>Slunečná 781/8, Jablonec nad Nisou</t>
  </si>
  <si>
    <t>https://www.facebook.com/minipivovaroskar</t>
  </si>
  <si>
    <t>https://goo.gl/evSDMa</t>
  </si>
  <si>
    <t>N 50°43.50048', E 15°10.86377'</t>
  </si>
  <si>
    <t>Černý kůň</t>
  </si>
  <si>
    <t>Malé náměstí 10/26, Hradec Králové</t>
  </si>
  <si>
    <t>http://www.cernykunhk.cz</t>
  </si>
  <si>
    <t>N 50°12.60208', E 15°50.17887'</t>
  </si>
  <si>
    <t>U Slunce</t>
  </si>
  <si>
    <t>Heřmanův Městec</t>
  </si>
  <si>
    <t>náměstí Míru 30, Heřmanův Městec</t>
  </si>
  <si>
    <t>http://www.uslunce30.webnode.cz</t>
  </si>
  <si>
    <t>N 49°56.76820', E 15°40.06232'</t>
  </si>
  <si>
    <t>Husitská 2635/2, Šumperk</t>
  </si>
  <si>
    <t>http://www.pivniceholba.cz</t>
  </si>
  <si>
    <t>Holba, Albert</t>
  </si>
  <si>
    <t>N 49°58.01828', E 16°58.63273'</t>
  </si>
  <si>
    <t>Portáš</t>
  </si>
  <si>
    <t>Ľudovíta Štúra 6078/1, Ostrava - Poruba</t>
  </si>
  <si>
    <t>N 49°49.54975', E 18°10.93920'</t>
  </si>
  <si>
    <t>U bazénu</t>
  </si>
  <si>
    <t>Mírového hnutí 2137/7, Praha 11 - Chodov</t>
  </si>
  <si>
    <t>http://www.pivniceubazenu.cz</t>
  </si>
  <si>
    <t>https://www.facebook.com/pivniceubazenu</t>
  </si>
  <si>
    <t>https://goo.gl/6XooJB</t>
  </si>
  <si>
    <t>N 50°2.39818', E 14°30.35715'</t>
  </si>
  <si>
    <t>U Žíznivýho Pupíku</t>
  </si>
  <si>
    <t>Starobrněnská 33/16, Brno-střed - Brno-město</t>
  </si>
  <si>
    <t>https://www.facebook.com/U-%C5%BD%C3%ADzniv%C3%BDho-Pup%C3%ADku-897781300390271</t>
  </si>
  <si>
    <t>N 49°11.57190', E 16°36.39502'</t>
  </si>
  <si>
    <t>Pod Sakem</t>
  </si>
  <si>
    <t>Choceň</t>
  </si>
  <si>
    <t>U Koupaliště 1734, Choceň</t>
  </si>
  <si>
    <t>N 50°0.02762', E 16°12.53442'</t>
  </si>
  <si>
    <t>Prajzko</t>
  </si>
  <si>
    <t>Hronov</t>
  </si>
  <si>
    <t>Husova 223, Hronov</t>
  </si>
  <si>
    <t>N 50°28.54772', E 16°10.86215'</t>
  </si>
  <si>
    <t>Ve Dvoře</t>
  </si>
  <si>
    <t>Veranda u zajíce</t>
  </si>
  <si>
    <t>Kynšperský zajíc</t>
  </si>
  <si>
    <t>Lukášova 188/6, Praha 3 - Žižkov</t>
  </si>
  <si>
    <t>N 50°5.25357', E 14°27.41625'</t>
  </si>
  <si>
    <t>28. října 561/236, Ostrava - Mariánské Hory a Hulváky</t>
  </si>
  <si>
    <t>N 49°49.65420', E 18°15.13890'</t>
  </si>
  <si>
    <t>Domino</t>
  </si>
  <si>
    <t>akademika Heyrovského 4844, Chomutov</t>
  </si>
  <si>
    <t>https://www.facebook.com/Domino-Bar-286834001441459</t>
  </si>
  <si>
    <t>N 50°28.18275', E 13°23.91807'</t>
  </si>
  <si>
    <t>Pivní restaurace</t>
  </si>
  <si>
    <t>Mírové náměstí 185, Kadaň</t>
  </si>
  <si>
    <t>https://www.pivnirestaurace.cz</t>
  </si>
  <si>
    <t>https://www.facebook.com/PivniRestaurace</t>
  </si>
  <si>
    <t>N 50°22.57737', E 13°16.21690'</t>
  </si>
  <si>
    <t>Pivárium</t>
  </si>
  <si>
    <t>Nové Strašecí</t>
  </si>
  <si>
    <t>Palackého 31/17, Nové Strašecí</t>
  </si>
  <si>
    <t>http://www.pivarium.cz</t>
  </si>
  <si>
    <t>https://www.facebook.com/pivarium.pivoteka.ns</t>
  </si>
  <si>
    <t>Pivotéka s čepovanými pivy</t>
  </si>
  <si>
    <t>N 50°9.10812', E 13°54.03057'</t>
  </si>
  <si>
    <t>U Kavalírů</t>
  </si>
  <si>
    <t>Kněžmost - Suhrovice</t>
  </si>
  <si>
    <t>Suhrovice 38, Kněžmost - Suhrovice</t>
  </si>
  <si>
    <t>https://www.facebook.com/pohostinstviukavaliru</t>
  </si>
  <si>
    <t>N 50°29.44243', E 15°3.49072'</t>
  </si>
  <si>
    <t>Once upon a beer</t>
  </si>
  <si>
    <t>Budečská 1010/18, Praha 2 - Vinohrady</t>
  </si>
  <si>
    <t>https://www.facebook.com/ouabeer</t>
  </si>
  <si>
    <t>N 50°4.48467', E 14°26.53045'</t>
  </si>
  <si>
    <t>Stáčírna Vítka I. z Prčice</t>
  </si>
  <si>
    <t>Ke stáčírně 1082/44, Praha 11 - Chodov</t>
  </si>
  <si>
    <t>https://www.facebook.com/stacirna</t>
  </si>
  <si>
    <t>N 50°2.35862', E 14°30.62797'</t>
  </si>
  <si>
    <t>Želva beers &amp; burgers</t>
  </si>
  <si>
    <t>Jana Želivského 1806/23, Praha 3 - Žižkov</t>
  </si>
  <si>
    <t>https://www.facebook.com/burgerzelva</t>
  </si>
  <si>
    <t>N 50°5.24492', E 14°28.15170'</t>
  </si>
  <si>
    <t>Pod Parohama</t>
  </si>
  <si>
    <t>Husarova 120/60, Ostrava-Jih - Výškovice</t>
  </si>
  <si>
    <t>http://www.restaurace-pizzerie-kavarna.com/grill_restaurant_pod_parohama</t>
  </si>
  <si>
    <t>N 49°47.11652', E 18°13.16260'</t>
  </si>
  <si>
    <t>Dostavník</t>
  </si>
  <si>
    <t>https://www.facebook.com/dostavnik.nafojtstvi.5</t>
  </si>
  <si>
    <t>Egypt</t>
  </si>
  <si>
    <t>Zrzavá veverka</t>
  </si>
  <si>
    <t>Zámecká 73/6, Česká Lípa</t>
  </si>
  <si>
    <t>Domovský podnik létajícího pivovaru Zrzavá veverka</t>
  </si>
  <si>
    <t>N 50°41.12707', E 14°32.32697'</t>
  </si>
  <si>
    <t>Marná sláva</t>
  </si>
  <si>
    <t>Hlavní třída 696/96, Ostrava - Poruba</t>
  </si>
  <si>
    <t>http://www.marnaslava.cz</t>
  </si>
  <si>
    <t>https://www.facebook.com/pizzamarnaslava</t>
  </si>
  <si>
    <t>Nabídka z Beskydského pivovaru a rotující pípa</t>
  </si>
  <si>
    <t>N 49°49.78680'. E 18°10.19628'</t>
  </si>
  <si>
    <t>Starobělský Šenk</t>
  </si>
  <si>
    <t>Karpatská 2657/17, Ostrava-Jih - Zábřeh</t>
  </si>
  <si>
    <t>https://starobelskysenk.metro.bar</t>
  </si>
  <si>
    <t>https://www.facebook.com/Starobelskysenk</t>
  </si>
  <si>
    <t>N 49°48.26788', E 18°14.42622'</t>
  </si>
  <si>
    <t>Radegastovna Aura</t>
  </si>
  <si>
    <t>Opavská 962/39, Ostrava-Poruba</t>
  </si>
  <si>
    <t>https://flic.kr/s/aHsmu7xvXe</t>
  </si>
  <si>
    <t>http://www.radegastovna.cz/aura</t>
  </si>
  <si>
    <t>https://www.facebook.com/radegastovnaaura</t>
  </si>
  <si>
    <t>N 49°49.89533', E 18°10.67747'</t>
  </si>
  <si>
    <t>Camp Srbsko</t>
  </si>
  <si>
    <t>N 49°56.36100', E 14°7.95250'</t>
  </si>
  <si>
    <t>Schrott, various</t>
  </si>
  <si>
    <t>Malenovice, various</t>
  </si>
  <si>
    <t>Beskydský, various</t>
  </si>
  <si>
    <t>PIVO HL</t>
  </si>
  <si>
    <t>Litva</t>
  </si>
  <si>
    <t>Bierhalle Lublin</t>
  </si>
  <si>
    <t>Lublin</t>
  </si>
  <si>
    <t>Prezydenta Gabriela Narutowicza 9, Lublin</t>
  </si>
  <si>
    <t>Polsko</t>
  </si>
  <si>
    <t>uzavřeno</t>
  </si>
  <si>
    <t>https://goo.gl/t93RgM</t>
  </si>
  <si>
    <t>https://flic.kr/s/aHskvPL4jK</t>
  </si>
  <si>
    <t>N 51°14.81868', E 22°33.80370'</t>
  </si>
  <si>
    <t>Bierhaus</t>
  </si>
  <si>
    <t>Rīga</t>
  </si>
  <si>
    <t>Lāčplēša iela 12, Rīga</t>
  </si>
  <si>
    <t>Lotyšsko</t>
  </si>
  <si>
    <t>http://www.bierhaus.lv</t>
  </si>
  <si>
    <t>https://www.facebook.com/bierhaus.lv</t>
  </si>
  <si>
    <t>https://goo.gl/xup3ze</t>
  </si>
  <si>
    <t>https://flic.kr/s/aHsm9WSZvy</t>
  </si>
  <si>
    <t>N 56°57.39462', E 24°7.24170'</t>
  </si>
  <si>
    <t>Brauerei Schmilka</t>
  </si>
  <si>
    <t>Bio-Braumanufaktur Schmilka</t>
  </si>
  <si>
    <t>Bad Schandau - Schmilka</t>
  </si>
  <si>
    <t>Schmilka Nr.11, Bad Schandau/OT Schmilka</t>
  </si>
  <si>
    <t>Německo</t>
  </si>
  <si>
    <t>http://brauerei.schmilka.de</t>
  </si>
  <si>
    <t>https://goo.gl/jR9hcL</t>
  </si>
  <si>
    <t>https://flic.kr/s/aHsmjYnr5G</t>
  </si>
  <si>
    <t>N 50°53.53615', E 14°13.92472'</t>
  </si>
  <si>
    <t>Būsi trečias</t>
  </si>
  <si>
    <t>Vilnius</t>
  </si>
  <si>
    <t>Totorių g. 18, Vilnius</t>
  </si>
  <si>
    <t>http://busitrecias.lt</t>
  </si>
  <si>
    <t>https://www.facebook.com/busitrecias</t>
  </si>
  <si>
    <t>https://goo.gl/hj4AMo</t>
  </si>
  <si>
    <t>https://flic.kr/s/aHsmiJFEyH</t>
  </si>
  <si>
    <t>N 54°41.07527', E 25°16.94310'</t>
  </si>
  <si>
    <t>C.K. Browar</t>
  </si>
  <si>
    <t>C.K. Browar Sp. z o.o</t>
  </si>
  <si>
    <t>Kraków</t>
  </si>
  <si>
    <t>Podwale 6-7, Kraków</t>
  </si>
  <si>
    <t>http://ckbrowar.pl</t>
  </si>
  <si>
    <t>https://www.facebook.com/CKBrowar/</t>
  </si>
  <si>
    <t>https://goo.gl/kHAKhG</t>
  </si>
  <si>
    <t>https://flic.kr/s/aHskyne3Qx</t>
  </si>
  <si>
    <t>N 50°3.80748', E 19°55.94695'</t>
  </si>
  <si>
    <t>Mieszczański</t>
  </si>
  <si>
    <t>Cieszyński Browar Mieszczański</t>
  </si>
  <si>
    <t>Cieszyn</t>
  </si>
  <si>
    <t>Księdza Ignacego Świeżego 6, Cieszyn</t>
  </si>
  <si>
    <t>https://goo.gl/vNcvGh</t>
  </si>
  <si>
    <t>https://flic.kr/s/aHsmg7TYMm</t>
  </si>
  <si>
    <t>N 49°44.69363', E 18°38.05888'</t>
  </si>
  <si>
    <t>CzenstochoviA</t>
  </si>
  <si>
    <t>Browar CzenstochoviA</t>
  </si>
  <si>
    <t>Częstochowa</t>
  </si>
  <si>
    <t>Korczaka 14, Częstochowa</t>
  </si>
  <si>
    <t>www.czenstochovia.pl</t>
  </si>
  <si>
    <t>https://www.facebook.com/Browar-CzenstochoviA-101679786569941</t>
  </si>
  <si>
    <t>https://goo.gl/WTHf5g</t>
  </si>
  <si>
    <t>https://flic.kr/s/aHskxmYB6J</t>
  </si>
  <si>
    <t>N 50°48.21495', E 19°6.69062'</t>
  </si>
  <si>
    <t>Drotár</t>
  </si>
  <si>
    <t>Pivovar Drotár</t>
  </si>
  <si>
    <t>Čadca</t>
  </si>
  <si>
    <t>Športovcov 2581, Čadca</t>
  </si>
  <si>
    <t>Slovensko</t>
  </si>
  <si>
    <t>http://www.pivovardrotar.sk</t>
  </si>
  <si>
    <t>https://www.facebook.com/Pivovar-Drotár-1675542722731035</t>
  </si>
  <si>
    <t>https://goo.gl/ae9aAo</t>
  </si>
  <si>
    <t>https://flic.kr/s/aHsmfxjBPT</t>
  </si>
  <si>
    <t>N 49°26.44247', E 18°46.53817'</t>
  </si>
  <si>
    <t>Fábrica Maravillas</t>
  </si>
  <si>
    <t>Madrid</t>
  </si>
  <si>
    <t>Calle de Valverde 29, Madrid</t>
  </si>
  <si>
    <t>Španělsko</t>
  </si>
  <si>
    <t>http://www.fmaravillas.com</t>
  </si>
  <si>
    <t>https://www.facebook.com/fabrica.maravillas.madrid</t>
  </si>
  <si>
    <t>https://goo.gl/y44fJH</t>
  </si>
  <si>
    <t>https://flic.kr/s/aHsmekQbLr</t>
  </si>
  <si>
    <t>N 40°25.36303', W 3°42.10235'</t>
  </si>
  <si>
    <t>Golem</t>
  </si>
  <si>
    <t>Pivovar Golem</t>
  </si>
  <si>
    <t>Košice</t>
  </si>
  <si>
    <t>Dominikánske nám.15, Košice</t>
  </si>
  <si>
    <t>http://www.pivovargolem.sk</t>
  </si>
  <si>
    <t>https://www.facebook.com/pivogolem</t>
  </si>
  <si>
    <t>https://goo.gl/VTHrD9</t>
  </si>
  <si>
    <t>https://flic.kr/s/aHskBqR7jy</t>
  </si>
  <si>
    <t>N 48°43.22750', E 21°15.28828'</t>
  </si>
  <si>
    <t>Grodzka 15</t>
  </si>
  <si>
    <t>Browar Grodzka 15</t>
  </si>
  <si>
    <t>Grodzka 15, Lublin</t>
  </si>
  <si>
    <t>http://www.grodzka15.pl</t>
  </si>
  <si>
    <t>https://www.facebook.com/BrowarGrodzka</t>
  </si>
  <si>
    <t>https://goo.gl/bmvKhY</t>
  </si>
  <si>
    <t>https://goo.gl/S3jEFT</t>
  </si>
  <si>
    <t>https://flic.kr/s/aHsmfBEmmV</t>
  </si>
  <si>
    <t>N 51°14.95462', E 22°34.16657'</t>
  </si>
  <si>
    <t>Gröninger</t>
  </si>
  <si>
    <t>Gröninger Privatbrauerei</t>
  </si>
  <si>
    <t>Willy-Brandt-Straße 47, Hamburg</t>
  </si>
  <si>
    <t>http://www.groeninger-hamburg.de</t>
  </si>
  <si>
    <t>https://www.facebook.com/HHGroeninger</t>
  </si>
  <si>
    <t>https://goo.gl/mU8zeZ</t>
  </si>
  <si>
    <t>https://flic.kr/s/aHsmipoXaX</t>
  </si>
  <si>
    <t>N 53°32.82912', E 9°59.77360'</t>
  </si>
  <si>
    <t>Gulvisa</t>
  </si>
  <si>
    <t>Lviv</t>
  </si>
  <si>
    <t>30a Petlura, Lviv</t>
  </si>
  <si>
    <t>Ukrajina</t>
  </si>
  <si>
    <t>http://gulvisa.virtual.ua</t>
  </si>
  <si>
    <t>https://vk.com/gulvisa</t>
  </si>
  <si>
    <t>https://goo.gl/8gs5Pj</t>
  </si>
  <si>
    <t>https://flic.kr/s/aHsmfnHwM5</t>
  </si>
  <si>
    <t>N 49°49.17300', E 23°58.81920'</t>
  </si>
  <si>
    <t>Jan Olbracht Toruń</t>
  </si>
  <si>
    <t>Jan Olbracht - browar Staromiejski Toruń</t>
  </si>
  <si>
    <t>Toruń</t>
  </si>
  <si>
    <t>Szczytna 15, Toruń</t>
  </si>
  <si>
    <t>http://browar-olbracht.pl</t>
  </si>
  <si>
    <t>https://www.facebook.com/Browar.Staromiejski/</t>
  </si>
  <si>
    <t>https://goo.gl/6nrTCi</t>
  </si>
  <si>
    <t>https://flic.kr/s/aHskyncxm4</t>
  </si>
  <si>
    <t>N 53°0.66077', E 18°36.33668'</t>
  </si>
  <si>
    <t>Kaltenberg</t>
  </si>
  <si>
    <t>Kaltenberg Sörház &amp; Étterem</t>
  </si>
  <si>
    <t>Budapest</t>
  </si>
  <si>
    <t>Kinizsi utca 30-36, Budapest</t>
  </si>
  <si>
    <t>Maďarsko</t>
  </si>
  <si>
    <t>http://kaltenberg.hu</t>
  </si>
  <si>
    <t>https://www.facebook.com/Kaltenbergetterem</t>
  </si>
  <si>
    <t>https://goo.gl/Y53LTg</t>
  </si>
  <si>
    <t>https://flic.kr/s/aHsmjVcLgW</t>
  </si>
  <si>
    <t>N 47°29.16660', E 19°4.01520'</t>
  </si>
  <si>
    <t>Klosterbrauerei Neuzelle</t>
  </si>
  <si>
    <t>Neuzeller Kloster-bräu</t>
  </si>
  <si>
    <t>Neuzelle</t>
  </si>
  <si>
    <t>Brauhausplatz 1, Neuzelle</t>
  </si>
  <si>
    <t>http://www.neuzeller-bier.de</t>
  </si>
  <si>
    <t>https://www.facebook.com/KlosterbrauereiNeuzelle/</t>
  </si>
  <si>
    <t>https://goo.gl/7ERi6s</t>
  </si>
  <si>
    <t>https://flic.kr/s/aHskwvDsoW</t>
  </si>
  <si>
    <t>N 52°5.45718', E 14°39.02545'</t>
  </si>
  <si>
    <t>Kumpel</t>
  </si>
  <si>
    <t>Volodymyra Vynnychenka 6, Lviv</t>
  </si>
  <si>
    <t>http://kumpelgroup.com/restaurants/kumpel</t>
  </si>
  <si>
    <t>https://www.facebook.com/kumpel.lviv</t>
  </si>
  <si>
    <t>https://goo.gl/1jL5yN</t>
  </si>
  <si>
    <t>https://flic.kr/s/aHskwvNxnL</t>
  </si>
  <si>
    <t>N 49°50.35835', E 24°2.16900'</t>
  </si>
  <si>
    <t>Labietis</t>
  </si>
  <si>
    <t>Alus darbnīca Labietis</t>
  </si>
  <si>
    <t>Aristīda Briāna 9a-2, Rīga</t>
  </si>
  <si>
    <t>http://www.labietis.lv</t>
  </si>
  <si>
    <t>https://www.facebook.com/AlusDarbnicaLabietis</t>
  </si>
  <si>
    <t>https://goo.gl/jz3oBJ</t>
  </si>
  <si>
    <t>https://flic.kr/s/aHsmiK2T2i</t>
  </si>
  <si>
    <t>N 56°57.91498', E 24°7.82338'</t>
  </si>
  <si>
    <t>Leičių</t>
  </si>
  <si>
    <t>Leičių Bravoras</t>
  </si>
  <si>
    <t>Stiklių g. 5, Vilnius</t>
  </si>
  <si>
    <t>http://www.bambalyne.lt/leiciu-bravoras</t>
  </si>
  <si>
    <t>https://goo.gl/GeXcxL</t>
  </si>
  <si>
    <t>https://flic.kr/s/aHsmdXvfZ7</t>
  </si>
  <si>
    <t>N 54°40.79260', E 25°17.20003'</t>
  </si>
  <si>
    <t>Lwów</t>
  </si>
  <si>
    <t>Browar hotel Lwów</t>
  </si>
  <si>
    <t>Bronowicka 2, Lublin</t>
  </si>
  <si>
    <t>http://www.hotel-lwow.pl</t>
  </si>
  <si>
    <t>https://www.facebook.com/hotel.lwow.lublin</t>
  </si>
  <si>
    <t>https://goo.gl/zfrTCU</t>
  </si>
  <si>
    <t>https://flic.kr/s/aHsmimnNvH</t>
  </si>
  <si>
    <t>N 51°14.28465', E 22°34.48287'</t>
  </si>
  <si>
    <t>Mad Brewing</t>
  </si>
  <si>
    <t>Mad Brewing - Fabrica de Cerveza</t>
  </si>
  <si>
    <t>Calle Julián Camarillo 19, Madrid</t>
  </si>
  <si>
    <t>http://madbrewing.beer</t>
  </si>
  <si>
    <t>https://www.facebook.com/madbrewing</t>
  </si>
  <si>
    <t>https://goo.gl/UngjGF</t>
  </si>
  <si>
    <t>https://flic.kr/s/aHsmb4eU3A</t>
  </si>
  <si>
    <t>N 40°26.08653', W 3°37.85867'</t>
  </si>
  <si>
    <t>Majer</t>
  </si>
  <si>
    <t>Minibrowar Majer</t>
  </si>
  <si>
    <t>Gliwice</t>
  </si>
  <si>
    <t>Studzienna 8, Gliwice</t>
  </si>
  <si>
    <t>http://minibrowarmajer.pl</t>
  </si>
  <si>
    <t>https://www.facebook.com/MinibrowarMajer</t>
  </si>
  <si>
    <t>https://goo.gl/cBTFmZ</t>
  </si>
  <si>
    <t>https://flic.kr/s/aHsmkRQoUF</t>
  </si>
  <si>
    <t>N 50°17.75340', E 18°40.07400'</t>
  </si>
  <si>
    <t>Mariacki</t>
  </si>
  <si>
    <t>Browar Mariacki</t>
  </si>
  <si>
    <t>Katowice</t>
  </si>
  <si>
    <t>Mariacka 15, Katowice</t>
  </si>
  <si>
    <t>http://browarmariacki.com.pl</t>
  </si>
  <si>
    <t>https://www.facebook.com/browarmariacki</t>
  </si>
  <si>
    <t>https://goo.gl/h8pc17</t>
  </si>
  <si>
    <t>https://flic.kr/s/aHskxmSoeo</t>
  </si>
  <si>
    <t>N 50°15.43440', E 19°1.57980'</t>
  </si>
  <si>
    <t>Miejski</t>
  </si>
  <si>
    <t>Browar Miejski</t>
  </si>
  <si>
    <t>Bielsko-Biała</t>
  </si>
  <si>
    <t>Piwowarska 2, Bielsko-Biała</t>
  </si>
  <si>
    <t>http://www.browarmiejski.pl</t>
  </si>
  <si>
    <t>https://www.facebook.com/minibrowar</t>
  </si>
  <si>
    <t>https://goo.gl/QD16v6</t>
  </si>
  <si>
    <t>https://flic.kr/s/aHsmb9F6U1</t>
  </si>
  <si>
    <t>N 49°49.24140', E 19°2.49613'</t>
  </si>
  <si>
    <t>Obermühle</t>
  </si>
  <si>
    <t>Brauhaus Obermühle</t>
  </si>
  <si>
    <t>Görlitz</t>
  </si>
  <si>
    <t>An der Obermühle 5, Görlitz</t>
  </si>
  <si>
    <t>http://www.obermuehle-goerlitz.de</t>
  </si>
  <si>
    <t>https://goo.gl/GhRrpE</t>
  </si>
  <si>
    <t>https://flic.kr/s/aHskwvCNj9</t>
  </si>
  <si>
    <t>N 51°8.63532', E 14°59.64598'</t>
  </si>
  <si>
    <t>Pravda</t>
  </si>
  <si>
    <t>Pravda - Teatr Piva</t>
  </si>
  <si>
    <t>Rynok square 32, Lviv</t>
  </si>
  <si>
    <t>http://www.pravda.beer</t>
  </si>
  <si>
    <t>https://www.facebook.com/PravdaLviv</t>
  </si>
  <si>
    <t>https://goo.gl/NpzTRC</t>
  </si>
  <si>
    <t>https://flic.kr/s/aHsm79cFUb</t>
  </si>
  <si>
    <t>N 49°50.52480', E 24°1.82520'</t>
  </si>
  <si>
    <t>Prie Katedros</t>
  </si>
  <si>
    <t>Prie Katedros Bravoras</t>
  </si>
  <si>
    <t>Gedimino pr. 5, Vilnius</t>
  </si>
  <si>
    <t>https://goo.gl/K9S4nW</t>
  </si>
  <si>
    <t>https://flic.kr/s/aHskvUfj32</t>
  </si>
  <si>
    <t>Welzl, various</t>
  </si>
  <si>
    <t>N 54°41.19678', E 25°17.00925'</t>
  </si>
  <si>
    <t>Ratsherrn</t>
  </si>
  <si>
    <t>Ratsherrn Brauerei</t>
  </si>
  <si>
    <t>Lagerstraße 30a, Hamburg</t>
  </si>
  <si>
    <t>http://www.ratsherrn.de</t>
  </si>
  <si>
    <t>https://www.facebook.com/Ratsherrn</t>
  </si>
  <si>
    <t>https://goo.gl/zpuRgj</t>
  </si>
  <si>
    <t>https://flic.kr/s/aHsmfEHx8R</t>
  </si>
  <si>
    <t>N 53°33.79123', E 9°58.10555'</t>
  </si>
  <si>
    <t>Reden</t>
  </si>
  <si>
    <t>Minibrowar Reden</t>
  </si>
  <si>
    <t>Chorzów</t>
  </si>
  <si>
    <t>Sobieskiego 17, Chorzów</t>
  </si>
  <si>
    <t>http://reden.ontap.pl</t>
  </si>
  <si>
    <t>https://www.facebook.com/MinibrowarReden/</t>
  </si>
  <si>
    <t>https://goo.gl/ybBkFj</t>
  </si>
  <si>
    <t>https://flic.kr/s/aHsmfu645b</t>
  </si>
  <si>
    <t>N 50°17.65288', E 18°57.18682'</t>
  </si>
  <si>
    <t>Kocour, various</t>
  </si>
  <si>
    <t>Rynek</t>
  </si>
  <si>
    <t>Browar Rynek</t>
  </si>
  <si>
    <t>Racibórz</t>
  </si>
  <si>
    <t>Rynek 14, Racibórz</t>
  </si>
  <si>
    <t>https://www.facebook.com/Browar-Rynek-443084285776906/</t>
  </si>
  <si>
    <t>https://goo.gl/MKfuzG</t>
  </si>
  <si>
    <t>https://flic.kr/s/aHsktpem6H</t>
  </si>
  <si>
    <t>N 50°5.55330', E 18°13.17650'</t>
  </si>
  <si>
    <t>https://flic.kr/s/aHsmh8SeJq</t>
  </si>
  <si>
    <t>Spiż</t>
  </si>
  <si>
    <t>Browar Spiź Wrocław</t>
  </si>
  <si>
    <t>Wrocław</t>
  </si>
  <si>
    <t>Ratusz 2, Wrocław</t>
  </si>
  <si>
    <t>http://spiz.pl/wroclaw</t>
  </si>
  <si>
    <t>https://www.facebook.com/Spiz.Wroclaw/</t>
  </si>
  <si>
    <t>https://goo.gl/GeZo3E</t>
  </si>
  <si>
    <t>https://flic.kr/s/aHsmkRHe7i</t>
  </si>
  <si>
    <t>N 51°6.59855', E 17°1.86952'</t>
  </si>
  <si>
    <t>Stargorod</t>
  </si>
  <si>
    <t>Stargorod Lviv</t>
  </si>
  <si>
    <t>Rymlyanyna 1, Lviv</t>
  </si>
  <si>
    <t>http://www.stargorod.net</t>
  </si>
  <si>
    <t>https://www.facebook.com/stargorodlviv</t>
  </si>
  <si>
    <t>https://goo.gl/NqjRyX</t>
  </si>
  <si>
    <t>https://flic.kr/s/aHsmexqNB3</t>
  </si>
  <si>
    <t>N 49°50.33400', E 24°2.24460'</t>
  </si>
  <si>
    <t>Stargorod Riga</t>
  </si>
  <si>
    <t>Republikas Laukums 1, Rīga</t>
  </si>
  <si>
    <t>https://www.facebook.com/rigastargorod</t>
  </si>
  <si>
    <t>https://flic.kr/s/aHsmdXJSw3</t>
  </si>
  <si>
    <t>N 56°57.18260', E 24°5.95975'</t>
  </si>
  <si>
    <t>T.E.A. Time</t>
  </si>
  <si>
    <t>T.E.A. Time Brewpub</t>
  </si>
  <si>
    <t>Dietla 1, Kraków</t>
  </si>
  <si>
    <t>http://www.teatimebrewery.com</t>
  </si>
  <si>
    <t>https://www.facebook.com/teatimebrewery/</t>
  </si>
  <si>
    <t>https://goo.gl/AK4yRu</t>
  </si>
  <si>
    <t>https://flic.kr/s/aHsmg4QFxq</t>
  </si>
  <si>
    <t>N 50°3.00335', E 19°56.18762'</t>
  </si>
  <si>
    <t>Stadtkrug</t>
  </si>
  <si>
    <t>Ueckermünder Brauhaus "Stadtkrug"</t>
  </si>
  <si>
    <t>Ueckermünde</t>
  </si>
  <si>
    <t>Markt 3, Ueckermünde</t>
  </si>
  <si>
    <t>https://www.hotel-ueckermuende.de</t>
  </si>
  <si>
    <t>https://www.facebook.com/HotelamMarktBrauhausStadtkrug/</t>
  </si>
  <si>
    <t>https://goo.gl/UcHdQH</t>
  </si>
  <si>
    <t>https://flic.kr/s/aHsktpaerP</t>
  </si>
  <si>
    <t>N 53°44.22347', E 14°2.77693'</t>
  </si>
  <si>
    <t>Warzelnia Piwa</t>
  </si>
  <si>
    <t>Regionalna Warzelnia Piwa Bydgoszcz</t>
  </si>
  <si>
    <t>Bydgoszcz</t>
  </si>
  <si>
    <t>Poznańska 8, Bydgoszcz</t>
  </si>
  <si>
    <t>http://www.warzelniapiwa.pl</t>
  </si>
  <si>
    <t>https://www.facebook.com/warzelniapiwa</t>
  </si>
  <si>
    <t>https://goo.gl/s5zobR</t>
  </si>
  <si>
    <t>https://flic.kr/s/aHsmc4iv77</t>
  </si>
  <si>
    <t>N 53°7.28273', E 17°59.68913'</t>
  </si>
  <si>
    <t>Zamość</t>
  </si>
  <si>
    <t>Browar Zamość</t>
  </si>
  <si>
    <t>Henryka Sienkiewicza 22, Zamość</t>
  </si>
  <si>
    <t>http://www.browarzamosc.pl</t>
  </si>
  <si>
    <t>https://www.facebook.com/BrowarZamosc</t>
  </si>
  <si>
    <t>https://goo.gl/zav25b</t>
  </si>
  <si>
    <t>https://flic.kr/s/aHsmdzu4To</t>
  </si>
  <si>
    <t>N 50°42.71712', E 23°15.33088'</t>
  </si>
  <si>
    <t>Watzke am Goldenen Reiter</t>
  </si>
  <si>
    <t>Watzke am Goldenen Reiter (pivovar Watzke)</t>
  </si>
  <si>
    <t>Dresden</t>
  </si>
  <si>
    <t>Hauptstraße 1, Dresden</t>
  </si>
  <si>
    <t>pivovarská restaurace</t>
  </si>
  <si>
    <t>http://www.watzke.de</t>
  </si>
  <si>
    <t>https://www.facebook.com/Watzke-am-Goldenen-Reiter-158640634163298</t>
  </si>
  <si>
    <t>https://goo.gl/YLZmNc</t>
  </si>
  <si>
    <t>https://flic.kr/s/aHsmkXH45P</t>
  </si>
  <si>
    <t>N 51°2.86440', E 13°44.11247'</t>
  </si>
  <si>
    <t>BrowArmia</t>
  </si>
  <si>
    <t>BrowArmia Królewska</t>
  </si>
  <si>
    <t>Warszawa</t>
  </si>
  <si>
    <t>Królewska 1, Warszawa</t>
  </si>
  <si>
    <t>http://www.browarmia.pl</t>
  </si>
  <si>
    <t>https://www.facebook.com/browarmia.krolewska</t>
  </si>
  <si>
    <t>https://goo.gl/ybW84e</t>
  </si>
  <si>
    <t>https://flic.kr/s/aHskyqmkex</t>
  </si>
  <si>
    <t>N 52°14.43013', E 21°0.96202'</t>
  </si>
  <si>
    <t>Arbat (Арбат)</t>
  </si>
  <si>
    <t>Ресторан-пивоварня «Арбат»</t>
  </si>
  <si>
    <t>Minsk</t>
  </si>
  <si>
    <t>проспект Независимости 143/1, Минск</t>
  </si>
  <si>
    <t>Bělorusko</t>
  </si>
  <si>
    <t>http://www.beerhouse.by</t>
  </si>
  <si>
    <t>https://www.facebook.com/arbatminsk</t>
  </si>
  <si>
    <t>https://goo.gl/h7237q</t>
  </si>
  <si>
    <t>https://flic.kr/s/aHsmkomq9T</t>
  </si>
  <si>
    <t>N 53°56.06170', E 27°38.89133'</t>
  </si>
  <si>
    <t>Druzja (Друзья)</t>
  </si>
  <si>
    <t>Ресторан-пивоварня «Друзья»</t>
  </si>
  <si>
    <t>Кульман 40, Минск</t>
  </si>
  <si>
    <t>https://druzya.by</t>
  </si>
  <si>
    <t>https://www.facebook.com/DruzyaBrewery1</t>
  </si>
  <si>
    <t>https://goo.gl/LfFZQd</t>
  </si>
  <si>
    <t>https://flic.kr/s/aHskAY1GxN</t>
  </si>
  <si>
    <t>N 53°55.68808', E 27°34.09080'</t>
  </si>
  <si>
    <t>Taler (Талер)</t>
  </si>
  <si>
    <t>Ресторан-пивоварня «Талер»</t>
  </si>
  <si>
    <t>Кальварийская 1, Минск</t>
  </si>
  <si>
    <t>https://vk.com/talerbeer</t>
  </si>
  <si>
    <t>https://www.facebook.com/talerbeer</t>
  </si>
  <si>
    <t>https://goo.gl/ydwPu4</t>
  </si>
  <si>
    <t>https://flic.kr/s/aHsmhK8BnV</t>
  </si>
  <si>
    <t>N 53°54.29148', E 27°32.40885'</t>
  </si>
  <si>
    <t>Bierbank</t>
  </si>
  <si>
    <t>Пивоварня Bierbank</t>
  </si>
  <si>
    <t>Ольшевского 10, Минск</t>
  </si>
  <si>
    <t>http://www.bierbank.by</t>
  </si>
  <si>
    <t>https://www.facebook.com/BIERBANK</t>
  </si>
  <si>
    <t>https://goo.gl/kjb4m9</t>
  </si>
  <si>
    <t>https://flic.kr/s/aHsmkJVF8e</t>
  </si>
  <si>
    <t>N 53°54.81678', E 27°30.46642'</t>
  </si>
  <si>
    <t>Brasserie 4:20</t>
  </si>
  <si>
    <t>Brasserie 4:20 (pivovar Revelation Cat)</t>
  </si>
  <si>
    <t>Roma</t>
  </si>
  <si>
    <t>Via Portuense 82, Roma</t>
  </si>
  <si>
    <t>Itálie</t>
  </si>
  <si>
    <t>https://www.facebook.com/Brasserie-420-189971481058018</t>
  </si>
  <si>
    <t>https://goo.gl/TsK7Lr</t>
  </si>
  <si>
    <t>https://flic.kr/s/aHsmk2G5fQ</t>
  </si>
  <si>
    <t>N 41°52.73490', E 12°28.11590'</t>
  </si>
  <si>
    <t>Jamaica</t>
  </si>
  <si>
    <t>Jamaica (pivovar Bierbank)</t>
  </si>
  <si>
    <t>N 53°54.81110', E 27°30.47445'</t>
  </si>
  <si>
    <t>Korova (Корова)</t>
  </si>
  <si>
    <t>Korova grill bar (pivovar 13Litar)</t>
  </si>
  <si>
    <t>Brest</t>
  </si>
  <si>
    <t>Советская 73, Брест</t>
  </si>
  <si>
    <t>https://www.facebook.com/korovagrill</t>
  </si>
  <si>
    <t>https://goo.gl/MXDVcM</t>
  </si>
  <si>
    <t>https://flic.kr/s/aHsmkoLcXa</t>
  </si>
  <si>
    <t>N 52°5.39343', E 23°41.65670'</t>
  </si>
  <si>
    <t>Black Tap brew pub</t>
  </si>
  <si>
    <t>Redditch</t>
  </si>
  <si>
    <t>Velká Británie</t>
  </si>
  <si>
    <t>The Fat Pig brewery</t>
  </si>
  <si>
    <t>Exeter</t>
  </si>
  <si>
    <t>The Crown pub</t>
  </si>
  <si>
    <t>Penzance</t>
  </si>
  <si>
    <t>Crazy Clown, various</t>
  </si>
  <si>
    <t>uzavřeno (closed)</t>
  </si>
  <si>
    <t>Bakov nad Jizerou</t>
  </si>
  <si>
    <t>Hospůdka U Oráče</t>
  </si>
  <si>
    <t>Olešná</t>
  </si>
  <si>
    <t>Létající bezdomovec, various</t>
  </si>
  <si>
    <t>https://www.beersandbikes.cz</t>
  </si>
  <si>
    <t>https://www.facebook.com/pivoteka.beersnmore</t>
  </si>
  <si>
    <t>Bulík (Žamberecký Kanec), various</t>
  </si>
  <si>
    <t>Baron</t>
  </si>
  <si>
    <t>Sádek (Vysoký Chlumec), various</t>
  </si>
  <si>
    <t>Pivní bar U Segala</t>
  </si>
  <si>
    <t>U Šneka, various</t>
  </si>
  <si>
    <t>Ostrava - Krásné Pole</t>
  </si>
  <si>
    <t>Beer poets, various</t>
  </si>
  <si>
    <t>Karlín</t>
  </si>
  <si>
    <t>Garde (?), various</t>
  </si>
  <si>
    <t>dříve Sovíček Kulíšek (Moravský Žižkov), various</t>
  </si>
  <si>
    <t>https://flic.kr/s/aHsmuoy8bi</t>
  </si>
  <si>
    <t>Řízková restaurace Pivoňka</t>
  </si>
  <si>
    <t>Kunratice, various</t>
  </si>
  <si>
    <t>Hranice</t>
  </si>
  <si>
    <t>https://flic.kr/s/aHsmwMUJFH</t>
  </si>
  <si>
    <t>Bubenečský (vařeno v Podřipském), various</t>
  </si>
  <si>
    <t>Kdo</t>
  </si>
  <si>
    <t>Kdy</t>
  </si>
  <si>
    <t>Co</t>
  </si>
  <si>
    <t>Odkaz</t>
  </si>
  <si>
    <t>Batalion</t>
  </si>
  <si>
    <t>22.11.</t>
  </si>
  <si>
    <t>Sládek z KH</t>
  </si>
  <si>
    <t>Ambasáda</t>
  </si>
  <si>
    <t>23.11.</t>
  </si>
  <si>
    <t>https://www.pivniambasada.cz/</t>
  </si>
  <si>
    <t>25.11.</t>
  </si>
  <si>
    <t>Otevření</t>
  </si>
  <si>
    <t>https://www.facebook.com/peckypivovar</t>
  </si>
  <si>
    <t>https://www.facebook.com/events/146450585976167/</t>
  </si>
  <si>
    <t>Venuše?</t>
  </si>
  <si>
    <t>Na prodej</t>
  </si>
  <si>
    <t>https://stroje.bazos.cz/inzerat/81655828/Minipivovar-kompletne-zarizeny.php</t>
  </si>
  <si>
    <t>únor 2018</t>
  </si>
  <si>
    <t>https://stroje.bazos.cz/inzerat/81436554/Varna-pivovaru.php</t>
  </si>
  <si>
    <t>Ruda nad Moravou</t>
  </si>
  <si>
    <t>https://stroje.bazos.cz/inzerat/82021133/Minipivovar-400l-s-plynovym-ohrevem-a-chladicim-boxem.php</t>
  </si>
  <si>
    <t>https://stroje.bazos.cz/inzerat/81488361/Poloautomaticky-pivovar-200l-PLC.php</t>
  </si>
  <si>
    <t>https://stroje.bazos.cz/inzerat/78082154/Minipivovar-500-litru.php</t>
  </si>
  <si>
    <t>Nové pivovary příslušenství</t>
  </si>
  <si>
    <t>https://stroje.bazos.cz/inzerat/80044572/Prodam-minipivovar-varnu-500-1000l.php</t>
  </si>
  <si>
    <t>Čínské pivovary</t>
  </si>
  <si>
    <t>https://stroje.hyperinzerce.cz/pivovarnicke-stroje/inzerat/13468467-minipivovar-300-2000l-nabidka/</t>
  </si>
  <si>
    <t>Černokostelecké</t>
  </si>
  <si>
    <t>únor</t>
  </si>
  <si>
    <t>akce</t>
  </si>
  <si>
    <t>Zelené</t>
  </si>
  <si>
    <t>barviva</t>
  </si>
  <si>
    <t>diplomka - barviva (blue)</t>
  </si>
  <si>
    <t>Anketa</t>
  </si>
  <si>
    <t>best podnik v Ově</t>
  </si>
  <si>
    <t>březen?</t>
  </si>
  <si>
    <t>přesun místo Vojáčka</t>
  </si>
  <si>
    <t>březen</t>
  </si>
  <si>
    <t>uzavření</t>
  </si>
  <si>
    <t>Meloun</t>
  </si>
  <si>
    <t>Meloun, pivovar U Lípy</t>
  </si>
  <si>
    <t>Svinišťany</t>
  </si>
  <si>
    <t>1991 - 1998</t>
  </si>
  <si>
    <t>MELOUN, pivovar a hostinec U Lípy spol. s r.o.</t>
  </si>
  <si>
    <t>N 50°23.50450', E 15°59.11515'</t>
  </si>
  <si>
    <t>HBH</t>
  </si>
  <si>
    <t>Domácí pivovar HBH</t>
  </si>
  <si>
    <t>1992 - 1994</t>
  </si>
  <si>
    <t>HBH Tábor spol. s r.o.</t>
  </si>
  <si>
    <t>Bavorské, Kaiser, König</t>
  </si>
  <si>
    <t>N 49°13.79040', E 16°35.50767'</t>
  </si>
  <si>
    <t>U Zezuláků</t>
  </si>
  <si>
    <t>Minipivovar U Zezuláků</t>
  </si>
  <si>
    <t>Hradec Králové - Malšovice</t>
  </si>
  <si>
    <t>1992 - 1997</t>
  </si>
  <si>
    <t>Mazel</t>
  </si>
  <si>
    <t>N 50°11.94905', E 15°51.97837'</t>
  </si>
  <si>
    <t>Národní dům</t>
  </si>
  <si>
    <t>Minipivovar Národní dům</t>
  </si>
  <si>
    <t>1993 - 1997</t>
  </si>
  <si>
    <t>N 49°35.56522', E 18°0.72233'</t>
  </si>
  <si>
    <t>Minipivovar Tábor</t>
  </si>
  <si>
    <t>1994 - 1995</t>
  </si>
  <si>
    <t>První valašský</t>
  </si>
  <si>
    <t>1. valašský hostinský pivovar</t>
  </si>
  <si>
    <t>1994 - 1997</t>
  </si>
  <si>
    <t>Minipivovar U Vozků</t>
  </si>
  <si>
    <t>1995 - 2003</t>
  </si>
  <si>
    <t>Slušovice</t>
  </si>
  <si>
    <t>Minipivovar Slušovice</t>
  </si>
  <si>
    <t>1996 - 2002</t>
  </si>
  <si>
    <t>Bohemian Hop Store</t>
  </si>
  <si>
    <t>1998 - 1999</t>
  </si>
  <si>
    <t>Myslbek</t>
  </si>
  <si>
    <t>N 50°5.16197', E 14°25.48632'</t>
  </si>
  <si>
    <t>Minipivovar Urban</t>
  </si>
  <si>
    <t>Postoloprty</t>
  </si>
  <si>
    <t>2000 - 2001</t>
  </si>
  <si>
    <t>Patriot</t>
  </si>
  <si>
    <t>Minipivovar Patriot</t>
  </si>
  <si>
    <t>2001 - 2002</t>
  </si>
  <si>
    <t>Žabeň</t>
  </si>
  <si>
    <t>Minipivovar Žabeň</t>
  </si>
  <si>
    <t>2001 - 2003</t>
  </si>
  <si>
    <t>Dymáček</t>
  </si>
  <si>
    <t>Minipivovar Dymáček</t>
  </si>
  <si>
    <t>2001 - 2008</t>
  </si>
  <si>
    <t>Lašský vulkán</t>
  </si>
  <si>
    <t>Minipivovar Lašský vulkán</t>
  </si>
  <si>
    <t>2004 - 2009</t>
  </si>
  <si>
    <t>Arthur's</t>
  </si>
  <si>
    <t>Minipivovar Arthur's</t>
  </si>
  <si>
    <t>2004 - 2010</t>
  </si>
  <si>
    <t>Minipivovar Příbor</t>
  </si>
  <si>
    <t>2005 - 2008</t>
  </si>
  <si>
    <t>Freudův, Mandlové, Trnkové</t>
  </si>
  <si>
    <t>Vorel</t>
  </si>
  <si>
    <t>Minipivovar Vorel</t>
  </si>
  <si>
    <t>2007 - 2009</t>
  </si>
  <si>
    <t>U Formánků</t>
  </si>
  <si>
    <t>Minipivovar U Formánků</t>
  </si>
  <si>
    <t>Hostivice</t>
  </si>
  <si>
    <t>2010 - 2013</t>
  </si>
  <si>
    <t>Pivovar Svitavy</t>
  </si>
  <si>
    <t>1882 - 2002</t>
  </si>
  <si>
    <t>Korunní pivovar Litoměřice</t>
  </si>
  <si>
    <t>Brumov - Bylnice</t>
  </si>
  <si>
    <t>Pivovar Brumov - Bylnice</t>
  </si>
  <si>
    <t>Uherský Ostroh</t>
  </si>
  <si>
    <t>Pivovar Uherský Ostroh</t>
  </si>
  <si>
    <t>Hanácký pivovar Olomouc</t>
  </si>
  <si>
    <t>Pivovar Prostějov</t>
  </si>
  <si>
    <t>Lanškroun</t>
  </si>
  <si>
    <t>Knížecí pivovar Lanškroun</t>
  </si>
  <si>
    <t>Právovárečný pivovar Hradec Králové</t>
  </si>
  <si>
    <t>K&amp;N</t>
  </si>
  <si>
    <t>Soukromý hostinský pivovar K&amp;N</t>
  </si>
  <si>
    <t>Sezemice</t>
  </si>
  <si>
    <t>1999 - 2010</t>
  </si>
  <si>
    <t>Pivovar Most</t>
  </si>
  <si>
    <t>Most - Sedlec</t>
  </si>
  <si>
    <t>1976 - 1998</t>
  </si>
  <si>
    <t>Měšťan</t>
  </si>
  <si>
    <t>První pražský měšťanský pivovar</t>
  </si>
  <si>
    <t>Pivovar Vsetín</t>
  </si>
  <si>
    <t>1663 - 1997</t>
  </si>
  <si>
    <t>Portá, Vsacan, Vsetínské</t>
  </si>
  <si>
    <t>Jevíčko</t>
  </si>
  <si>
    <t>Pivovar Jevíčko</t>
  </si>
  <si>
    <t>Golčův Jeníkov</t>
  </si>
  <si>
    <t>Pivovar Golčův Jeníkov</t>
  </si>
  <si>
    <t>Pivovar Domažlice</t>
  </si>
  <si>
    <t>Studená</t>
  </si>
  <si>
    <t>Pivovar Studená</t>
  </si>
  <si>
    <t>Pivovar Cheb</t>
  </si>
  <si>
    <t>http://www.pivovarhulvat.cz</t>
  </si>
  <si>
    <t>Pivnice Portáš</t>
  </si>
  <si>
    <t>https://flic.kr/s/aHsmcpuxvy</t>
  </si>
  <si>
    <t>https://www.facebook.com/Pod-Sakem-186759938565706</t>
  </si>
  <si>
    <t>https://goo.gl/bxzHNR</t>
  </si>
  <si>
    <t>Penzion Prajzko - Klub malých pivovarů Hronov</t>
  </si>
  <si>
    <t>http://www.prajzko.cz</t>
  </si>
  <si>
    <t>https://www.facebook.com/Penzion-Prajzko-Klub-mal%C3%BDch-pivovar%C5%AF-Hronov-1845334025704052</t>
  </si>
  <si>
    <t>https://goo.gl/F9StcR</t>
  </si>
  <si>
    <t>https://goo.gl/YLzNT6</t>
  </si>
  <si>
    <t>https://goo.gl/zcx3Lj</t>
  </si>
  <si>
    <t>https://goo.gl/H6SStp</t>
  </si>
  <si>
    <t>https://goo.gl/6zCtwU</t>
  </si>
  <si>
    <t>Kněžmost</t>
  </si>
  <si>
    <t>https://goo.gl/BApJGX</t>
  </si>
  <si>
    <t>https://goo.gl/3YwTmN</t>
  </si>
  <si>
    <t>https://www.facebook.com/Bar-Egypt-139292589434166</t>
  </si>
  <si>
    <t>https://goo.gl/h9CiKJ</t>
  </si>
  <si>
    <t>Pivovar Cisterciáckého opatství Ossegg Praha</t>
  </si>
  <si>
    <t>http://praha.ossegg.com</t>
  </si>
  <si>
    <t>Balthasar, Laurentius, Philipp, Ruthard</t>
  </si>
  <si>
    <t>Pod Besedou</t>
  </si>
  <si>
    <t>Pivovar Pod Besedou</t>
  </si>
  <si>
    <t>Žižkovo nám. 5, Tábor</t>
  </si>
  <si>
    <t>http://www.restaurace-beseda.cz</t>
  </si>
  <si>
    <t>https://www.facebook.com/pivovarpodbesedou</t>
  </si>
  <si>
    <t>https://goo.gl/zpqXFc</t>
  </si>
  <si>
    <t>Součást Muzea pivovarnictví</t>
  </si>
  <si>
    <t>N 49°24.87680', E 14°39.52792'</t>
  </si>
  <si>
    <t>Starobělská Koliba</t>
  </si>
  <si>
    <t>Svornosti 737/100, Ostrava-Jih - Výškovice</t>
  </si>
  <si>
    <t>http://starobelskypivovar.cz/starobelska-koliba</t>
  </si>
  <si>
    <t>https://www.facebook.com/Koliba-B%C4%9Blsk%C3%BD-les-720573991438872</t>
  </si>
  <si>
    <t>https://flic.kr/s/aHskN6hSk1</t>
  </si>
  <si>
    <t>N 49°46.85133', E 18°13.94413'</t>
  </si>
  <si>
    <t>Jiná Sféra</t>
  </si>
  <si>
    <t>Bar Jiná Sféra</t>
  </si>
  <si>
    <t>Výškovická 2635/118c, Ostrava-Jih - Zábřeh</t>
  </si>
  <si>
    <t>https://www.facebook.com/Bar-Jin%C3%A1-Sf%C3%A9ra-247078879392457</t>
  </si>
  <si>
    <t>https://goo.gl/vf8QAs</t>
  </si>
  <si>
    <t>N 49°47.37187', E 18°13.59842'</t>
  </si>
  <si>
    <t>Pivovar Kamenice</t>
  </si>
  <si>
    <t>Kamenice 299, Kamenice</t>
  </si>
  <si>
    <t>https://www.facebook.com/kamenickepivo</t>
  </si>
  <si>
    <t>https://goo.gl/m8V4kR</t>
  </si>
  <si>
    <t>Stejný majitel jako u Radničního pivovaru (Jihlava)</t>
  </si>
  <si>
    <t>Kamenické</t>
  </si>
  <si>
    <t>N 49°22.07187', E 15°46.70992'</t>
  </si>
  <si>
    <t>Pivovar Hulvát</t>
  </si>
  <si>
    <t>Truskovice</t>
  </si>
  <si>
    <t>Truskovice 32, Truskovice</t>
  </si>
  <si>
    <t>https://www.facebook.com/pivovarhulvattruskovice</t>
  </si>
  <si>
    <t>https://goo.gl/ndyQpW</t>
  </si>
  <si>
    <t>N 49°6.15317', E 14°9.66040'</t>
  </si>
  <si>
    <t>Vodňany</t>
  </si>
  <si>
    <t>Františkovy lázně</t>
  </si>
  <si>
    <t>Řevnice</t>
  </si>
  <si>
    <t>28. října 301, Řevnice</t>
  </si>
  <si>
    <t>https://www.facebook.com/Franti%C5%A1kovy-l%C3%A1zn%C4%9B-206878463263922</t>
  </si>
  <si>
    <t>https://goo.gl/kahzYz</t>
  </si>
  <si>
    <t>N 49°54.96770', E 14°14.37300'</t>
  </si>
  <si>
    <t>Pioneer</t>
  </si>
  <si>
    <t>Řemeslný pivovar Pioneer</t>
  </si>
  <si>
    <t>nám. Prokopa Velkého 303, Žatec</t>
  </si>
  <si>
    <t>https://www.facebook.com/pioneerbeer</t>
  </si>
  <si>
    <t>https://goo.gl/tX2qNm</t>
  </si>
  <si>
    <t>Rezident</t>
  </si>
  <si>
    <t>N 50°19.47243', E 13°32.73790'</t>
  </si>
  <si>
    <t>Jadrošova krčma</t>
  </si>
  <si>
    <t>Olomouc - Neředín</t>
  </si>
  <si>
    <t>U kovárny 879/28a, Olomouc - Neředín</t>
  </si>
  <si>
    <t>http://jadrosovakrcma.cz</t>
  </si>
  <si>
    <t>https://www.facebook.com/jadrosovakrcma.cz</t>
  </si>
  <si>
    <t>N 49°35.60760', E 17°13.65630'</t>
  </si>
  <si>
    <t>Volf</t>
  </si>
  <si>
    <t>Řemeslný pivovar Volf</t>
  </si>
  <si>
    <t>Široký důl</t>
  </si>
  <si>
    <t>Široký Důl 62, Široký Důl</t>
  </si>
  <si>
    <t>https://www.facebook.com/pivovarsirokydul</t>
  </si>
  <si>
    <t>https://goo.gl/Du3VUL</t>
  </si>
  <si>
    <t>N 49°44.77190', E 16°13.27948'</t>
  </si>
  <si>
    <t>Široký Důl</t>
  </si>
  <si>
    <t>U Rypáka</t>
  </si>
  <si>
    <t>Hostinec u Rypáka</t>
  </si>
  <si>
    <t>Vrátkov</t>
  </si>
  <si>
    <t>Vrátkov 36, Vrátkov</t>
  </si>
  <si>
    <t>https://www.facebook.com/Hostinec-u-Ryp%C3%A1ka-1850494435007648</t>
  </si>
  <si>
    <t>https://goo.gl/K9tEXQ</t>
  </si>
  <si>
    <t>N 50°2.81265', E 14°50.07658'</t>
  </si>
  <si>
    <t>U Velkého raka</t>
  </si>
  <si>
    <t>Pivnice U Velkého raka</t>
  </si>
  <si>
    <t>Luká</t>
  </si>
  <si>
    <t>Luká 22, Luká</t>
  </si>
  <si>
    <t>N 49°38.86577', E 16°56.81828'</t>
  </si>
  <si>
    <t>Restaurace Baron</t>
  </si>
  <si>
    <t>http://www.baron-karvina.cz</t>
  </si>
  <si>
    <t>https://flic.kr/s/aHskJMAEE2</t>
  </si>
  <si>
    <t>N 49°51.26768', E 18°32.41805'</t>
  </si>
  <si>
    <t>Jazz Club</t>
  </si>
  <si>
    <t>Dlouhá třída 1593/46, Havířov - Podlesí</t>
  </si>
  <si>
    <t>https://www.facebook.com/jazzclubhavirov</t>
  </si>
  <si>
    <t>https://goo.gl/KfHhYn</t>
  </si>
  <si>
    <t>Albrechtický, various</t>
  </si>
  <si>
    <t>N 49°46.49918', E 18°27.09835'</t>
  </si>
  <si>
    <t>Turnovská pivnice</t>
  </si>
  <si>
    <t>Hluboká 146, Turnov</t>
  </si>
  <si>
    <t>https://www.facebook.com/turnovska.pivnice</t>
  </si>
  <si>
    <t>https://goo.gl/LG1z43</t>
  </si>
  <si>
    <t>Turnovská</t>
  </si>
  <si>
    <t>N 50°35.20185', E 15°9.31960'</t>
  </si>
  <si>
    <t>Pivotechna</t>
  </si>
  <si>
    <t>Opavská 768/99, Ostrava - Poruba</t>
  </si>
  <si>
    <t>http://www.pivotechna.cz</t>
  </si>
  <si>
    <t>https://www.facebook.com/Pivotechna</t>
  </si>
  <si>
    <t>https://goo.gl/VQm1gB</t>
  </si>
  <si>
    <t>Pivotéka pivovarů HoppyDog, Pivovarský dům a Beerokracie s čepovanými pivy</t>
  </si>
  <si>
    <t>https://flic.kr/s/aHsmvG1Zik</t>
  </si>
  <si>
    <t>N 49°50.06372', E 18°10.02318'</t>
  </si>
  <si>
    <t>Beránek</t>
  </si>
  <si>
    <t>Pivovar Beránek</t>
  </si>
  <si>
    <t>Stěžery</t>
  </si>
  <si>
    <t>Zámecká, Stěžery</t>
  </si>
  <si>
    <t>http://www.pivovarberanek.cz</t>
  </si>
  <si>
    <t>https://www.facebook.com/PivoBeranek</t>
  </si>
  <si>
    <t>https://goo.gl/rEx7RF</t>
  </si>
  <si>
    <t>Beránek, Beran, Černá ovce</t>
  </si>
  <si>
    <t>N 50°12.86417', E 15°44.88122'</t>
  </si>
  <si>
    <t>Měšťanský pivovar Turnov</t>
  </si>
  <si>
    <t>Na Lukách 669, Turnov</t>
  </si>
  <si>
    <t>N 50°35.52902', E 15°9.42537'</t>
  </si>
  <si>
    <t>Garp</t>
  </si>
  <si>
    <t>Pivovar Garp</t>
  </si>
  <si>
    <t>Brigádnická 734, Bakov nad Jizerou</t>
  </si>
  <si>
    <t>http://pivogarp.cz</t>
  </si>
  <si>
    <t>https://www.facebook.com/pivogarp</t>
  </si>
  <si>
    <t>https://goo.gl/k1j4oa</t>
  </si>
  <si>
    <t>N 50°28.17107', E 14°56.57133'</t>
  </si>
  <si>
    <t>Rudohor</t>
  </si>
  <si>
    <t>Pivovar Rudohor</t>
  </si>
  <si>
    <t>Ostrov - Dolní Žďár</t>
  </si>
  <si>
    <t>Dolní Žďár 1, Ostrov</t>
  </si>
  <si>
    <t>https://www.rudohor.cz</t>
  </si>
  <si>
    <t>https://www.facebook.com/pivovarrudohor</t>
  </si>
  <si>
    <t>https://goo.gl/1wf2wL</t>
  </si>
  <si>
    <t>Dollar, Dukát, Tolar</t>
  </si>
  <si>
    <t>N 50°19.29427', E 12°56.75977'</t>
  </si>
  <si>
    <t>Chors</t>
  </si>
  <si>
    <t>Pivovar Chors</t>
  </si>
  <si>
    <t>Černotín</t>
  </si>
  <si>
    <t>Černotín 45, Černotín</t>
  </si>
  <si>
    <t>N 49°31.85242', E 17°46.37355'</t>
  </si>
  <si>
    <t>Na Vývoji</t>
  </si>
  <si>
    <t>Pivovar Na Vývoji</t>
  </si>
  <si>
    <t>Vlašim</t>
  </si>
  <si>
    <t>Havlíčkova 1135, Vlašim</t>
  </si>
  <si>
    <t>https://www.navyvoji.cz</t>
  </si>
  <si>
    <t>https://www.facebook.com/NaVyvoji</t>
  </si>
  <si>
    <t>https://goo.gl/ejeptf</t>
  </si>
  <si>
    <t>N 49°42.06107', E 14°54.10072'</t>
  </si>
  <si>
    <t>U Tomana</t>
  </si>
  <si>
    <t>Beerhouse U Tomana</t>
  </si>
  <si>
    <t>náměstí Svobody 93/22, Brno-střed - Brno-město</t>
  </si>
  <si>
    <t>https://www.utomana.cz</t>
  </si>
  <si>
    <t>https://www.facebook.com/zazijbrno</t>
  </si>
  <si>
    <t>https://goo.gl/KiisXN</t>
  </si>
  <si>
    <t>Tomanův</t>
  </si>
  <si>
    <t>N 49°11.71205', E 16°36.42670'</t>
  </si>
  <si>
    <t>Šenov</t>
  </si>
  <si>
    <t>Pivovar Šenov</t>
  </si>
  <si>
    <t>Obecní 6, Šenov</t>
  </si>
  <si>
    <t>http://www.pivovar-senov.cz</t>
  </si>
  <si>
    <t>https://goo.gl/rr7AhE</t>
  </si>
  <si>
    <t>Pivovar a nabídka potřeb pro homebrewing</t>
  </si>
  <si>
    <t>N 49°47.03318', E 18°22.43745'</t>
  </si>
  <si>
    <t>Žíznivý dromedár</t>
  </si>
  <si>
    <t>Pivovar Žíznivý dromedár</t>
  </si>
  <si>
    <t>Alberta Kučery 1274/14, Ostrava-Jih - Hrabůvka</t>
  </si>
  <si>
    <t>http://www.ziznivydromedar.cz</t>
  </si>
  <si>
    <t>https://goo.gl/FRNLaU</t>
  </si>
  <si>
    <t>https://flic.kr/s/aHsmu8N6vH</t>
  </si>
  <si>
    <t>N 49°46.79410', E 18°15.42572'</t>
  </si>
  <si>
    <t>Zlatá kráva</t>
  </si>
  <si>
    <t>Pivovar Zlatá kráva</t>
  </si>
  <si>
    <t>Nepomuk</t>
  </si>
  <si>
    <t>náměstí Augustina Němejce 416, Nepomuk</t>
  </si>
  <si>
    <t>http://zlatakrava.cz</t>
  </si>
  <si>
    <t>https://www.facebook.com/zlatakravapivovar</t>
  </si>
  <si>
    <t>https://goo.gl/FpzqyK</t>
  </si>
  <si>
    <t>Zlatá kráva, Černá kráva, FarmAPA, TraktorIPA</t>
  </si>
  <si>
    <t>N 49°29.23062', E 13°34.92898'</t>
  </si>
  <si>
    <t>U Viléma</t>
  </si>
  <si>
    <t>Bar U Viléma</t>
  </si>
  <si>
    <t>Plzeň - Slovany</t>
  </si>
  <si>
    <t>Úslavská 657/27, Plzeň - Slovany</t>
  </si>
  <si>
    <t>https://www.facebook.com/Bar-u-Vil%C3%A9ma-236267310117587</t>
  </si>
  <si>
    <t>N 49°44.49175', E 13°23.52712'</t>
  </si>
  <si>
    <t>Betlém</t>
  </si>
  <si>
    <t>Restaurant Dalešického pivovaru Betlém</t>
  </si>
  <si>
    <t>Brno - Černá Pole</t>
  </si>
  <si>
    <t>Krkoškova 502/27, Brno-sever - Černá Pole</t>
  </si>
  <si>
    <t>https://betlem-restaurant.cz</t>
  </si>
  <si>
    <t>https://www.facebook.com/restaurantbetlem</t>
  </si>
  <si>
    <t>N 49°13.00675', E 16°37.46388'</t>
  </si>
  <si>
    <t>U Baumannů</t>
  </si>
  <si>
    <t>Restaurant Dalešického pivovaru U Baumannů</t>
  </si>
  <si>
    <t>Česká</t>
  </si>
  <si>
    <t>Česká 27, Česká</t>
  </si>
  <si>
    <t>https://ubaumannu.cz</t>
  </si>
  <si>
    <t>https://www.facebook.com/restaurantubaumannu</t>
  </si>
  <si>
    <t>N 49°16.97862', E 16°33.85892'</t>
  </si>
  <si>
    <t>Kuřim</t>
  </si>
  <si>
    <t>Rojc</t>
  </si>
  <si>
    <t>Řemeslný pivovar Rojc</t>
  </si>
  <si>
    <t>Rozdrojovice</t>
  </si>
  <si>
    <t>Na Rovinách 341, Rozdrojovice</t>
  </si>
  <si>
    <t>http://rojc.cz</t>
  </si>
  <si>
    <t>https://www.facebook.com/Rojc-1093834074102010</t>
  </si>
  <si>
    <t>https://goo.gl/SJWEoe</t>
  </si>
  <si>
    <t>Garrigue, Manuka</t>
  </si>
  <si>
    <t>N 49°15.37933', E 16°30.80100'</t>
  </si>
  <si>
    <t>Parovar</t>
  </si>
  <si>
    <t>Rodinný pivovárek Parovar</t>
  </si>
  <si>
    <t>Rudná</t>
  </si>
  <si>
    <t>Na Výsluní 1026/68, Rudná</t>
  </si>
  <si>
    <t>https://goo.gl/VBaiQT</t>
  </si>
  <si>
    <t>Boomerang, Jokr</t>
  </si>
  <si>
    <t>N 50°1.57488', E 14°13.18055'</t>
  </si>
  <si>
    <t>Pernerova 691/42, Praha 8 - Karlín</t>
  </si>
  <si>
    <t>http://www.pivokarlin.cz</t>
  </si>
  <si>
    <t>https://www.facebook.com/pivokarlin</t>
  </si>
  <si>
    <t>https://goo.gl/rZtGqo</t>
  </si>
  <si>
    <t>Stejný majitel jako majitel Počernického pivovaru</t>
  </si>
  <si>
    <t>N 50°5.51618', E 14°27.45650'</t>
  </si>
  <si>
    <t>Dva kohouti</t>
  </si>
  <si>
    <t>Sokolovská 81/55, Praha 8 - Karlín</t>
  </si>
  <si>
    <t>https://www.dvakohouti.cz</t>
  </si>
  <si>
    <t>https://www.facebook.com/dva.kohouti</t>
  </si>
  <si>
    <t>https://goo.gl/pwTdsp</t>
  </si>
  <si>
    <t>Pivo čepované samospádem</t>
  </si>
  <si>
    <t>Lager</t>
  </si>
  <si>
    <t>N 50°5.60745', E 14°26.81147'</t>
  </si>
  <si>
    <t>Křížek</t>
  </si>
  <si>
    <t>Pivovar Křížek</t>
  </si>
  <si>
    <t>Sedláčkova 1834/30, Tábor</t>
  </si>
  <si>
    <t>http://pivovarkrizek.cz</t>
  </si>
  <si>
    <t>https://www.facebook.com/pivovarkrizek</t>
  </si>
  <si>
    <t>https://goo.gl/AjDeyv</t>
  </si>
  <si>
    <t>N 49°24.82970', E 14°40.95388'</t>
  </si>
  <si>
    <t>Březácký Sup</t>
  </si>
  <si>
    <t>Březácký minipivovar Sup</t>
  </si>
  <si>
    <t>Březí</t>
  </si>
  <si>
    <t>Hlavní 49, Březí</t>
  </si>
  <si>
    <t>https://www.facebook.com/brezackysup</t>
  </si>
  <si>
    <t>https://goo.gl/hgtfHG</t>
  </si>
  <si>
    <t>N 48°48.95252', E 16°33.50825'</t>
  </si>
  <si>
    <t>Beer's No.1</t>
  </si>
  <si>
    <t>Škroupova 536/6, Ostrava - Moravská Ostrava a Přívoz</t>
  </si>
  <si>
    <t>https://www.beers.town</t>
  </si>
  <si>
    <t>https://www.facebook.com/BeersNo.1</t>
  </si>
  <si>
    <t>https://goo.gl/r7wzWv</t>
  </si>
  <si>
    <t>100 piv v nabídce, z toho 25 čepovaných; provozovatelem je Starobělský pivovar</t>
  </si>
  <si>
    <t>https://flic.kr/s/aHsmvpto6F</t>
  </si>
  <si>
    <t>N 49°50.18345', E 18°17.12370'</t>
  </si>
  <si>
    <t>Moravskoslezský</t>
  </si>
  <si>
    <t>Studánky</t>
  </si>
  <si>
    <t>Pivovar Studánky</t>
  </si>
  <si>
    <t>Vyšší Brod - Studánky</t>
  </si>
  <si>
    <t>Studánky 63, Vyšší Brod - Studánky</t>
  </si>
  <si>
    <t>https://www.facebook.com/Pivovar-Stud%C3%A1nky-a-Restaurace-Pivovar-Stud%C3%A1nky-499694920506159</t>
  </si>
  <si>
    <t>https://goo.gl/o1Rbvq</t>
  </si>
  <si>
    <t>Jiřina, Špáca</t>
  </si>
  <si>
    <t>N 48°35.34503', E 14°19.56327'</t>
  </si>
  <si>
    <t>Beers 'n' More</t>
  </si>
  <si>
    <t>Pivotéka Beers 'n' More</t>
  </si>
  <si>
    <t>Varšavská 1042/24, Praha 2 - Vinohrady</t>
  </si>
  <si>
    <t>https://goo.gl/UrPiQU</t>
  </si>
  <si>
    <t>Pivotéka s rotujícími pípami. V plánu je vlastní pivovar. Ten je již zakoupen, ale zatím zakonzervován.</t>
  </si>
  <si>
    <t>N 50°4.35395', E 14°26.37345'</t>
  </si>
  <si>
    <t>Beertime</t>
  </si>
  <si>
    <t>Beertime - Pivnice malých pivovarů</t>
  </si>
  <si>
    <t>Mrštíkova 1165/10, Jihlava</t>
  </si>
  <si>
    <t>https://www.facebook.com/beertime.cz</t>
  </si>
  <si>
    <t>https://goo.gl/wuZfkU</t>
  </si>
  <si>
    <t>N 49°23.68295', E 15°35.31630'</t>
  </si>
  <si>
    <t>Beertime pub</t>
  </si>
  <si>
    <t>Nádražní 61/116, Praha 5 - Smíchov</t>
  </si>
  <si>
    <t>http://www.beertime.pub</t>
  </si>
  <si>
    <t>https://www.facebook.com/beertime.pub</t>
  </si>
  <si>
    <t>https://goo.gl/oVmKn3</t>
  </si>
  <si>
    <t>N 50°4.27660', E 14°24.28603'</t>
  </si>
  <si>
    <t>Liberec - Rochlice</t>
  </si>
  <si>
    <t>České mládeže 324/5, Liberec - Liberec VI-Rochlice</t>
  </si>
  <si>
    <t>https://www.facebook.com/PivovarHrochLiberec</t>
  </si>
  <si>
    <t>N 50°44.60857', E 15°3.55173'</t>
  </si>
  <si>
    <t>Hákův</t>
  </si>
  <si>
    <t>Hákův parní pivovar</t>
  </si>
  <si>
    <t>Mlékojedy</t>
  </si>
  <si>
    <t>Mlékojedy 84, Mlékojedy</t>
  </si>
  <si>
    <t>https://www.hpp.beer</t>
  </si>
  <si>
    <t>https://goo.gl/ofv8tt</t>
  </si>
  <si>
    <t>Lovoš</t>
  </si>
  <si>
    <t>N 50°31.63725', E 14°7.15853'</t>
  </si>
  <si>
    <t>Ústecká pivotéka</t>
  </si>
  <si>
    <t>Horova 1262/6, Ústí nad Labem-město - Ústí nad Labem-centrum</t>
  </si>
  <si>
    <t>http://ustecka-pivoteka.cz</t>
  </si>
  <si>
    <t>https://www.facebook.com/usteckapivoteka</t>
  </si>
  <si>
    <t>https://goo.gl/5Ffy6Z</t>
  </si>
  <si>
    <t>Pivotéka s rotujícími pípami.</t>
  </si>
  <si>
    <t>N 50°39.69852', E 14°2.17402'</t>
  </si>
  <si>
    <t>Bajer</t>
  </si>
  <si>
    <t>Pivovar Bajer</t>
  </si>
  <si>
    <t>Frymburk - Kovářov</t>
  </si>
  <si>
    <t>Kovářov 13, Frymburk - Kovářov</t>
  </si>
  <si>
    <t>http://www.penzionaxiom.cz/pivovar-bajer</t>
  </si>
  <si>
    <t>https://www.facebook.com/penzionaxiom.cz</t>
  </si>
  <si>
    <t>https://goo.gl/b3eW9y</t>
  </si>
  <si>
    <t>Kontejnerový pivovar v penzionu Axiom.</t>
  </si>
  <si>
    <t>N 48°41.35760', E 14°7.39233'</t>
  </si>
  <si>
    <t>Frymburk</t>
  </si>
  <si>
    <t>Medojed</t>
  </si>
  <si>
    <t>Pivovar Medojed</t>
  </si>
  <si>
    <t>Družební 460/122, Ostrava - Krásné Pole</t>
  </si>
  <si>
    <t>http://medojed.com</t>
  </si>
  <si>
    <t>https://goo.gl/LXgjMu</t>
  </si>
  <si>
    <t>N 49°50.75583', E 18°7.41783'</t>
  </si>
  <si>
    <t>Bubeneč</t>
  </si>
  <si>
    <t>https://www.facebook.com/pivovarbubenec</t>
  </si>
  <si>
    <t>https://goo.gl/C1KmBY</t>
  </si>
  <si>
    <t>Pivotéka Království piva s barem a pivovarem.</t>
  </si>
  <si>
    <t>Bubenečský</t>
  </si>
  <si>
    <t>N 50°6.07355', E 14°24.26962'</t>
  </si>
  <si>
    <t>Andělský</t>
  </si>
  <si>
    <t>Andělský pivovar</t>
  </si>
  <si>
    <t>Lidická 337/30, Praha 5 - Smíchov</t>
  </si>
  <si>
    <t>http://www.andelskypivovar.cz</t>
  </si>
  <si>
    <t>https://www.facebook.com/andelskypivovar</t>
  </si>
  <si>
    <t>https://goo.gl/EKjPfF</t>
  </si>
  <si>
    <t>N 50°4.33973', E 14°24.36110'</t>
  </si>
  <si>
    <t>Kbelský</t>
  </si>
  <si>
    <t>Kbelský pivovar</t>
  </si>
  <si>
    <t>Praha - Kbely</t>
  </si>
  <si>
    <t>Mladoboleslavská, Praha 19 - Kbely</t>
  </si>
  <si>
    <t>https://www.facebook.com/KbelskyPivovar</t>
  </si>
  <si>
    <t>https://goo.gl/zR1Tk8</t>
  </si>
  <si>
    <t>11 pocestných, 12 pilotů, 13 havranů, 14 jepic, 15 sirén</t>
  </si>
  <si>
    <t>N 50°7.82903', E 14°32.85505'</t>
  </si>
  <si>
    <t>Řemeslný pivovar Lomnice nad Popelkou</t>
  </si>
  <si>
    <t>Poděbradova 49, Lomnice nad Popelkou</t>
  </si>
  <si>
    <t>https://goo.gl/THS9GM</t>
  </si>
  <si>
    <t>N 50°31.85877', E 15°22.26618'</t>
  </si>
  <si>
    <t>Čestmír</t>
  </si>
  <si>
    <t>Pivovar Čestmír</t>
  </si>
  <si>
    <t>https://www.facebook.com/pivovarcestmir</t>
  </si>
  <si>
    <t>https://goo.gl/QkJUx7</t>
  </si>
  <si>
    <t>eMBe</t>
  </si>
  <si>
    <t>Pivovar eMBe</t>
  </si>
  <si>
    <t>Na Klenici 46/9, Mladá Boleslav - Mladá Boleslav III</t>
  </si>
  <si>
    <t>https://www.facebook.com/eMBepivovar</t>
  </si>
  <si>
    <t>https://goo.gl/QPXJtH</t>
  </si>
  <si>
    <t>N 50°24.57847', E 14°54.29728'</t>
  </si>
  <si>
    <t>Morous</t>
  </si>
  <si>
    <t>Minipivovar Morous</t>
  </si>
  <si>
    <t>Jesenická 107/4, Rýmařov</t>
  </si>
  <si>
    <t>https://hotelslunce.jeseniky.com</t>
  </si>
  <si>
    <t>https://www.facebook.com/MinipivovarMorous</t>
  </si>
  <si>
    <t>https://goo.gl/VojhbZ</t>
  </si>
  <si>
    <t>N 49°56.22415', E 17°16.28745'</t>
  </si>
  <si>
    <t>Pivovar Olešná</t>
  </si>
  <si>
    <t>Olešná 72, Olešná</t>
  </si>
  <si>
    <t>http://www.pivovarolesna.cz</t>
  </si>
  <si>
    <t>https://www.facebook.com/Pivovar-Ole%C5%A1n%C3%A1-1032277996912007</t>
  </si>
  <si>
    <t>https://goo.gl/7akNEY</t>
  </si>
  <si>
    <t>V postupně rekonstruovaném zámeckém areálu. V plánu je otevření vlastní restaurace.</t>
  </si>
  <si>
    <t>N 50°7.77687', E 13°41.84978'</t>
  </si>
  <si>
    <t>Pivovar Hostivar H2</t>
  </si>
  <si>
    <t>ID</t>
  </si>
  <si>
    <t>NO</t>
  </si>
  <si>
    <t>VISITED</t>
  </si>
  <si>
    <t>N 49°50.341', E 18°9.801'</t>
  </si>
  <si>
    <t>N 49°1.68147', E 17°38.57945'</t>
  </si>
  <si>
    <t>N 50°46.167', E 15°3.024'</t>
  </si>
  <si>
    <t>N 50°12.587', E 15°49.889'</t>
  </si>
  <si>
    <t>N 49°57.918', E 14°4.387'</t>
  </si>
  <si>
    <t>N 49°56.900', E 15°15.888'</t>
  </si>
  <si>
    <t>N 49°12.447', E 16°41.685'</t>
  </si>
  <si>
    <t>N 50°8.468', E 14°25.951'</t>
  </si>
  <si>
    <t>N 49°11.308', E 16°32.077'</t>
  </si>
  <si>
    <t>N 49°44.719', E 13°23.191'</t>
  </si>
  <si>
    <t>N 50°5.896', E 14°24.389'</t>
  </si>
  <si>
    <t>N 50°4.414', E 14°25.739'</t>
  </si>
  <si>
    <t>N 50°5.449', E 14°25.097'</t>
  </si>
  <si>
    <t>N 49°35.831', E 17°15.929'</t>
  </si>
  <si>
    <t>N 50°4.621', E 14°27.214'</t>
  </si>
  <si>
    <t>N 48°51.069', E 17°7.381'</t>
  </si>
  <si>
    <t>N 49°27.461', E 17°27.015'</t>
  </si>
  <si>
    <t>N 49°12.056', E 16°36.475'</t>
  </si>
  <si>
    <t>N 50°12.619', E 15°49.859'</t>
  </si>
  <si>
    <t>N 50°3.030', E 14°28.916'</t>
  </si>
  <si>
    <t>N 49°13.285', E 16°35.881'</t>
  </si>
  <si>
    <t>N 50°5.346', E 14°25.662'</t>
  </si>
  <si>
    <t>N 49°12.189', E 16°35.808'</t>
  </si>
  <si>
    <t>N 49°11.568', E 16°36.051'</t>
  </si>
  <si>
    <t>N 49°38.702', E 18°9.216'</t>
  </si>
  <si>
    <t>N 49°35.596', E 17°14.619'</t>
  </si>
  <si>
    <t>N 49°26.335', E 15°34.456'</t>
  </si>
  <si>
    <t>N 50°12.612', E 15°50.011'</t>
  </si>
  <si>
    <t>N 50°4.829', E 14°26.954'</t>
  </si>
  <si>
    <t>N 49°50.159', E 18°15.569'</t>
  </si>
  <si>
    <t>N 50°5.247', E 14°27.212'</t>
  </si>
  <si>
    <t>N 50°4.788', E 14°27.266'</t>
  </si>
  <si>
    <t>N 50°46.544', E 15°4.467'</t>
  </si>
  <si>
    <t>N 49°11.808', E 16°36.555'</t>
  </si>
  <si>
    <t>N 49°11.756', E 16°36.604'</t>
  </si>
  <si>
    <t>N 49°13.747', E 17°40.209'</t>
  </si>
  <si>
    <t>N 50°3.860', E 14°26.522'</t>
  </si>
  <si>
    <t>N 49°13.210', E 16°35.606'</t>
  </si>
  <si>
    <t>N 50°3.77400', E 14°26.39377'</t>
  </si>
  <si>
    <t>N 50°54.88013', E 15°5.21468'</t>
  </si>
  <si>
    <t>N 50°13.53843', E 14°6.30807'</t>
  </si>
  <si>
    <t>N 50°6.38690', E 13°43.65747'</t>
  </si>
  <si>
    <t>N 50°13.79997', E 14°5.31537'</t>
  </si>
  <si>
    <t>N 49°44.98868', E 14°8.58662'</t>
  </si>
  <si>
    <t>N 50°11.83243', E 15°56.51387'</t>
  </si>
  <si>
    <t>N 49°8.58822', E 13°14.37010'</t>
  </si>
  <si>
    <t>N 49°32.40670', E 15°21.59802'</t>
  </si>
  <si>
    <t>N 49°57.40367', E 14°4.31357'</t>
  </si>
  <si>
    <t>N 49°31.92337', E 18°23.69580'</t>
  </si>
  <si>
    <t>N 50°7.05787', E 14°30.42847'</t>
  </si>
  <si>
    <t>N 49°28.41827', E 18°2.77570'</t>
  </si>
  <si>
    <t>N 50°0.09012', E 14°33.64848'</t>
  </si>
  <si>
    <t>N 49°46.36752', E 18°18.39067'</t>
  </si>
  <si>
    <t>N 50°9.15433', E 17°0.65928'</t>
  </si>
  <si>
    <t>N 48°45.65718', E 16°52.50600'</t>
  </si>
  <si>
    <t>N 50°5.05158', E 14°21.45698'</t>
  </si>
  <si>
    <t>N 50°1.76742', E 14°24.61602'</t>
  </si>
  <si>
    <t>N 50°39.87888', E 14°8.33610'</t>
  </si>
  <si>
    <t>N 48°59.61410', E 14°28.57028'</t>
  </si>
  <si>
    <t>N 49°24.88603', E 16°34.89927'</t>
  </si>
  <si>
    <t>N 49°17.90413', E 17°23.53998'</t>
  </si>
  <si>
    <t>N 49°38.98347', E 13°23.95292'</t>
  </si>
  <si>
    <t>N 49°57.40200', E 15°16.25500'</t>
  </si>
  <si>
    <t>N 49°7.85280', E 16°4.79363'</t>
  </si>
  <si>
    <t>N 50°22.13802', E 15°10.28993'</t>
  </si>
  <si>
    <t>N 49°39.32565', E 13°17.40492'</t>
  </si>
  <si>
    <t>N 49°57.40488', E 15°16.25790'</t>
  </si>
  <si>
    <t>N 49°15.57503', E 13°53.85078'</t>
  </si>
  <si>
    <t>N 49°55.85228', E 17°16.18775'</t>
  </si>
  <si>
    <t>N 49°54.04982', E 16°26.95155'</t>
  </si>
  <si>
    <t>N 49°46.80565', E 14°41.42830'</t>
  </si>
  <si>
    <t>N 48°48.73943', E 14°19.19142'</t>
  </si>
  <si>
    <t>N 50°4.73412', E 14°25.01485'</t>
  </si>
  <si>
    <t>N 49°53.86927', E 18°11.24257'</t>
  </si>
  <si>
    <t>N 49°51.25812', E 18°10.99782'</t>
  </si>
  <si>
    <t>N 48°49.62797', E 14°21.80612'</t>
  </si>
  <si>
    <t>N 49°21.28422', E 16°0.60498'</t>
  </si>
  <si>
    <t>N 50°17.27352', E 12°51.94163'</t>
  </si>
  <si>
    <t>N 50°17.02648', E 13°0.59295'</t>
  </si>
  <si>
    <t>N 50°39.29412', E 15°36.19608'</t>
  </si>
  <si>
    <t>N 49°33.44868', E 13°57.51205'</t>
  </si>
  <si>
    <t>N 50°4.19550', E 16°55.66147'</t>
  </si>
  <si>
    <t>N 50°2.78213', E 14°32.96112'</t>
  </si>
  <si>
    <t>N 49°46.61088', E 15°1.76280'</t>
  </si>
  <si>
    <t>N 49°38.04945', E 18°12.98535'</t>
  </si>
  <si>
    <t>N 50°23.03100', E 13°6.66200'</t>
  </si>
  <si>
    <t>N 49°53.60833', E 12°43.64480'</t>
  </si>
  <si>
    <t>N 48°51.37395', E 16°2.70612'</t>
  </si>
  <si>
    <t>N 49°42.56835', E 15°41.77620'</t>
  </si>
  <si>
    <t>N 49°28.73827', E 14°40.86570'</t>
  </si>
  <si>
    <t>N 49°28.04377', E 13°10.41138'</t>
  </si>
  <si>
    <t>N 49°53.61053', E 15°33.96492'</t>
  </si>
  <si>
    <t>N 50°3.76812', E 14°14.00333'</t>
  </si>
  <si>
    <t>N 48°36.96840', E 14°18.76557'</t>
  </si>
  <si>
    <t>N 49°1.44090', E 17°39.31493'</t>
  </si>
  <si>
    <t>N 49°28.33537', E 17°6.99558'</t>
  </si>
  <si>
    <t>N 50°13.94063', E 17°12.06900'</t>
  </si>
  <si>
    <t>N 49°23.84467', E 15°34.95282'</t>
  </si>
  <si>
    <t>N 50°1.88812', E 14°31.18490'</t>
  </si>
  <si>
    <t>N 50°29.82870', E 13°38.44717'</t>
  </si>
  <si>
    <t>N 50°13.81503', E 12°52.02338'</t>
  </si>
  <si>
    <t>N 50°31.47967', E 14°56.86152'</t>
  </si>
  <si>
    <t>N 48°58.38863', E 17°17.32103'</t>
  </si>
  <si>
    <t>N 49°0.17847', E 14°24.19262'</t>
  </si>
  <si>
    <t>N 50°55.19418', E 14°36.21738'</t>
  </si>
  <si>
    <t>N 50°5.01072', E 14°25.22917'</t>
  </si>
  <si>
    <t>N 50°10.48932', E 15°50.86717'</t>
  </si>
  <si>
    <t>N 49°38.57928', E 18°28.83233'</t>
  </si>
  <si>
    <t>N 49°40.48962', E 18°28.60253'</t>
  </si>
  <si>
    <t>N 50°45.11667', E 15°5.29658'</t>
  </si>
  <si>
    <t>N 50°6.49567', E 14°51.24228'</t>
  </si>
  <si>
    <t>N 50°32.19533', E 14°9.19332'</t>
  </si>
  <si>
    <t>N 49°24.08640', E 12°59.97702'</t>
  </si>
  <si>
    <t>N 49°15.39442', E 15°18.65610'</t>
  </si>
  <si>
    <t>N 49°35.55488', E 18°15.37007'</t>
  </si>
  <si>
    <t>N 50°33.68588', E 15°54.56197'</t>
  </si>
  <si>
    <t>N 50°38.57797', E 15°36.51150'</t>
  </si>
  <si>
    <t>N 49°43.75818', E 18°14.16757'</t>
  </si>
  <si>
    <t>N 50°10.41943', E 13°46.35702'</t>
  </si>
  <si>
    <t>N 50°4.06308', E 17°5.55203'</t>
  </si>
  <si>
    <t>N 49°1.23525', E 13°34.76643'</t>
  </si>
  <si>
    <t>N 50°7.44312', E 12°31.88760'</t>
  </si>
  <si>
    <t>N 50°32.10438', E 14°8.09887'</t>
  </si>
  <si>
    <t>N 49°18.34038', E 14°22.84507'</t>
  </si>
  <si>
    <t>N 49°12.64843', E 16°40.83752'</t>
  </si>
  <si>
    <t>N 49°41.67858', E 17°4.58813'</t>
  </si>
  <si>
    <t>N 49°36.86472', E 14°23.50747'</t>
  </si>
  <si>
    <t>N 49°30.89077', E 18°37.62690'</t>
  </si>
  <si>
    <t>N 49°12.57570', E 16°36.00288'</t>
  </si>
  <si>
    <t>N 49°35.08392', E 18°21.03593'</t>
  </si>
  <si>
    <t>N 49°55.01712', E 14°35.73323'</t>
  </si>
  <si>
    <t>N 48°48.56160', E 16°38.57862'</t>
  </si>
  <si>
    <t>N 50°6.37252', E 14°27.39007'</t>
  </si>
  <si>
    <t>N 49°57.30123', E 13°51.09448'</t>
  </si>
  <si>
    <t>N 49°18.56283', E 17°23.85775'</t>
  </si>
  <si>
    <t>N 48°51.40253', E 17°2.08930'</t>
  </si>
  <si>
    <t>N 49°46.22202', E 13°21.79727'</t>
  </si>
  <si>
    <t>N 49°58.66632', E 15°46.23942'</t>
  </si>
  <si>
    <t>N 49°38.35163', E 17°12.69277'</t>
  </si>
  <si>
    <t>N 50°21.48390', E 13°48.93528'</t>
  </si>
  <si>
    <t>N 50°24.24473', E 15°40.87147'</t>
  </si>
  <si>
    <t>N 49°55.39080', E 14°15.51795'</t>
  </si>
  <si>
    <t>N 48°50.13642', E 16°55.95150'</t>
  </si>
  <si>
    <t>N 49°35.43657', E 17°14.98347'</t>
  </si>
  <si>
    <t>N 49°45.13103', E 16°27.64897'</t>
  </si>
  <si>
    <t>N 49°41.79337', E 15°49.13448'</t>
  </si>
  <si>
    <t>N 50°21.17647', E 14°41.60767'</t>
  </si>
  <si>
    <t>N 50°4.77280', E 14°25.38630'</t>
  </si>
  <si>
    <t>N 50°29.23700', E 15°31.46600'</t>
  </si>
  <si>
    <t>N 50°46.94827', E 15°25.16898'</t>
  </si>
  <si>
    <t>N 50°36.22668', E 16°20.07258'</t>
  </si>
  <si>
    <t>N 49°30.59800', E 17°31.21690'</t>
  </si>
  <si>
    <t>N 49°50.32660', E 18°16.39815'</t>
  </si>
  <si>
    <t>N 49°28.29035', E 15°0.13333'</t>
  </si>
  <si>
    <t>N 49°26.69790', E 17°27.08963'</t>
  </si>
  <si>
    <t>N 50°44.06287', E 15°41.82192'</t>
  </si>
  <si>
    <t>N 49°44.80368', E 13°22.06698'</t>
  </si>
  <si>
    <t>N 49°11.77278', E 16°36.42577'</t>
  </si>
  <si>
    <t>N 50°10.70293', E 12°38.25227'</t>
  </si>
  <si>
    <t>N 50°2.15567', E 15°45.68440'</t>
  </si>
  <si>
    <t>N 49°48.44102', E 18°14.40240'</t>
  </si>
  <si>
    <t>N 49°44.86167', E 13°23.24137'</t>
  </si>
  <si>
    <t>N 49°12.27637', E 14°13.05942'</t>
  </si>
  <si>
    <t>N 50°11.62627', E 13°42.48202'</t>
  </si>
  <si>
    <t>N 49°35.61852', E 18°21.56917'</t>
  </si>
  <si>
    <t>N 49°8.31097', E 15°0.52128'</t>
  </si>
  <si>
    <t>N 50°25.13982', E 14°46.97183'</t>
  </si>
  <si>
    <t>N 49°42.64962', E 16°15.59910'</t>
  </si>
  <si>
    <t>N 50°10.72827', E 15°2.29185'</t>
  </si>
  <si>
    <t>N 49°25.83800', E 15°13.23000'</t>
  </si>
  <si>
    <t>N 50°5.01847', E 14°24.88057'</t>
  </si>
  <si>
    <t>N 50°24.89617', E 16°10.27643'</t>
  </si>
  <si>
    <t>N 50°6.33720', E 13°14.85588'</t>
  </si>
  <si>
    <t>N 50°10.57788', E 15°44.49468'</t>
  </si>
  <si>
    <t>N 49°41.93032', E 13°24.84243'</t>
  </si>
  <si>
    <t>N 49°50.40117', E 18°17.31130'</t>
  </si>
  <si>
    <t>N 49°39.70013', E 18°25.68318'</t>
  </si>
  <si>
    <t>N 49°23.78100', E 15°35.45647'</t>
  </si>
  <si>
    <t>N 49°51.40662', E 13°36.80008'</t>
  </si>
  <si>
    <t>N 49°40.53570', E 13°30.22980'</t>
  </si>
  <si>
    <t>N 50°17.68523', E 16°9.73332'</t>
  </si>
  <si>
    <t>N 48°55.07112', E 17°9.63113'</t>
  </si>
  <si>
    <t>N 49°36.60893', E 15°34.60032'</t>
  </si>
  <si>
    <t>N 49°0.14723', E 14°46.35337'</t>
  </si>
  <si>
    <t>N 49°12.44352', E 16°29.03543'</t>
  </si>
  <si>
    <t>N 50°6.91630', E 14°27.97742'</t>
  </si>
  <si>
    <t>N 50°0.91950', E 18°4.38217'</t>
  </si>
  <si>
    <t>N 49°27.40380', E 18°8.21022'</t>
  </si>
  <si>
    <t>N 49°19.10880', E 15°38.72328'</t>
  </si>
  <si>
    <t>N 50°10.29420', E 16°16.71900'</t>
  </si>
  <si>
    <t>N 49°45.60132', E 15°54.89640'</t>
  </si>
  <si>
    <t>N 48°57.83832', E 14°28.47552'</t>
  </si>
  <si>
    <t>N 50°12.49183', E 15°49.74045'</t>
  </si>
  <si>
    <t>N 49°9.18780', E 16°44.54957'</t>
  </si>
  <si>
    <t>N 50°36.62300', E 15°8.84738'</t>
  </si>
  <si>
    <t>N 49°53.95248', E 18°22.42327'</t>
  </si>
  <si>
    <t>N 49°8.97918', E 16°53.32357'</t>
  </si>
  <si>
    <t>N 50°21.75228', E 15°5.74920'</t>
  </si>
  <si>
    <t>N 49°47.06857', E 17°54.83025'</t>
  </si>
  <si>
    <t>N 49°11.46168', E 16°35.50583'</t>
  </si>
  <si>
    <t>N 50°8.69518', E 14°5.54637'</t>
  </si>
  <si>
    <t>N 50°4.11693', E 14°24.45392'</t>
  </si>
  <si>
    <t>N 49°44.28432', E 13°35.10600'</t>
  </si>
  <si>
    <t>N 50°48.63727', E 15°1.89270'</t>
  </si>
  <si>
    <t>N 50°5.21278', E 14°23.31020'</t>
  </si>
  <si>
    <t>N 49°37.83553', E 17°20.34233'</t>
  </si>
  <si>
    <t>N 49°35.75202', E 17°15.52260'</t>
  </si>
  <si>
    <t>N 49°31.59713', E 17°35.35207'</t>
  </si>
  <si>
    <t>N 50°11.20567', E 12°45.16583'</t>
  </si>
  <si>
    <t>N 50°0.19597', E 15°12.51882'</t>
  </si>
  <si>
    <t>N 50°34.34980', E 15°3.24385'</t>
  </si>
  <si>
    <t>N 49°1.58955', E 17°15.82782'</t>
  </si>
  <si>
    <t>N 50°4.52148', E 14°25.42943'</t>
  </si>
  <si>
    <t>N 49°3.14892', E 13°46.49707'</t>
  </si>
  <si>
    <t>N 48°51.02430', E 17°7.65948'</t>
  </si>
  <si>
    <t>N 50°25.18957', E 15°48.54030'</t>
  </si>
  <si>
    <t>N 49°35.46432', E 18°7.01115'</t>
  </si>
  <si>
    <t>N 49°13.04862', E 15°52.18267'</t>
  </si>
  <si>
    <t>N 50°2.65430', E 14°16.94488'</t>
  </si>
  <si>
    <t>N 49°38.08867', E 18°41.14332'</t>
  </si>
  <si>
    <t>N 50°4.97193', E 14°25.11595'</t>
  </si>
  <si>
    <t>N 49°28.32038', E 17°5.30643'</t>
  </si>
  <si>
    <t>N 50°5.13702', E 14°25.09973'</t>
  </si>
  <si>
    <t>N 49°0.84840', E 16°46.81842'</t>
  </si>
  <si>
    <t>N 50°39.58187', E 14°2.51608'</t>
  </si>
  <si>
    <t>N 49°20.55127', E 17°59.60652'</t>
  </si>
  <si>
    <t>N 49°55.45868', E 14°38.08683'</t>
  </si>
  <si>
    <t>N 50°45.63768', E 15°6.75037'</t>
  </si>
  <si>
    <t>N 50°5.20973', E 14°27.00623'</t>
  </si>
  <si>
    <t>N 50°9.38382', E 14°11.38920'</t>
  </si>
  <si>
    <t>N 49°47.46697', E 13°58.66218'</t>
  </si>
  <si>
    <t>N 49°32.00082', E 16°37.51602'</t>
  </si>
  <si>
    <t>N 49°34.45193', E 14°31.71672'</t>
  </si>
  <si>
    <t>N 49°52.39005', E 14°6.65838'</t>
  </si>
  <si>
    <t>N 49°3.37092', E 16°39.00293'</t>
  </si>
  <si>
    <t>N 49°45.09337', E 13°0.34308'</t>
  </si>
  <si>
    <t>N 50°16.35265', E 13°55.55000'</t>
  </si>
  <si>
    <t>N 49°25.84830', E 14°11.89788'</t>
  </si>
  <si>
    <t>N 48°50.13323', E 16°3.36773'</t>
  </si>
  <si>
    <t>N 49°5.07247', E 13°27.87953'</t>
  </si>
  <si>
    <t>N 49°12.33653', E 17°35.82870'</t>
  </si>
  <si>
    <t>N 49°45.60097', E 18°1.19118'</t>
  </si>
  <si>
    <t>N 49°27.01788', E 17°26.86002'</t>
  </si>
  <si>
    <t>N 50°5.22637', E 16°27.64758'</t>
  </si>
  <si>
    <t>N 50°19.93433', E 13°32.51082'</t>
  </si>
  <si>
    <t>N 50°19.47662', E 13°32.68378'</t>
  </si>
  <si>
    <t>N 49°31.77727', E 15°12.85338'</t>
  </si>
  <si>
    <t>N 48°47.78872', E 14°40.90768'</t>
  </si>
  <si>
    <t>N 50°4.56442', E 15°55.17893'</t>
  </si>
  <si>
    <t>N 49°55.18105', E 14°12.57630'</t>
  </si>
  <si>
    <t>N 50°54.83802', E 14°30.45893'</t>
  </si>
  <si>
    <t>N 49°4.44607', E 17°53.34528'</t>
  </si>
  <si>
    <t>N 49°8.60827', E 15°0.20177'</t>
  </si>
  <si>
    <t>N 50°42.00498', E 15°39.09593'</t>
  </si>
  <si>
    <t>N 49°17.93730', E 15°4.80582'</t>
  </si>
  <si>
    <t>N 50°39.91830', E 14°4.56773'</t>
  </si>
  <si>
    <t>N 49°2.35417', E 16°0.48168'</t>
  </si>
  <si>
    <t>N 49°56.45167', E 17°53.95518'</t>
  </si>
  <si>
    <t>N 49°40.76040', E 18°34.14067'</t>
  </si>
  <si>
    <t>N 49°50.60772', E 18°33.74838'</t>
  </si>
  <si>
    <t>N 48°54.68040', E 13°53.51208'</t>
  </si>
  <si>
    <t>N 50°21.17010', E 13°48.41028'</t>
  </si>
  <si>
    <t>N 49°45.22350', E 13°29.07432'</t>
  </si>
  <si>
    <t>N 49°16.96725', E 17°21.81358'</t>
  </si>
  <si>
    <t>N 50°21.08617', E 13°48.60667'</t>
  </si>
  <si>
    <t>N 49°16.71802', E 17°2.44458'</t>
  </si>
  <si>
    <t>N 49°52.25557', E 16°19.00290'</t>
  </si>
  <si>
    <t>N 49°12.49480', E 16°36.16550'</t>
  </si>
  <si>
    <t>N 49°32.25827', E 13°30.94100'</t>
  </si>
  <si>
    <t>N 49°40.60758', E 18°19.98162'</t>
  </si>
  <si>
    <t>N 50°5.54633', E 14°19.43742'</t>
  </si>
  <si>
    <t>N 50°27.57187', E 13°24.75683'</t>
  </si>
  <si>
    <t>N 49°41.39448', E 13°58.92187'</t>
  </si>
  <si>
    <t>N 49°56.45273', E 17°54.04200'</t>
  </si>
  <si>
    <t>N 49°7.61568', E 16°20.03052'</t>
  </si>
  <si>
    <t>N 49°13.88172', E 17°40.99530'</t>
  </si>
  <si>
    <t>N 49°1.41353', E 13°29.56853'</t>
  </si>
  <si>
    <t>N 48°58.48560', E 14°28.35277'</t>
  </si>
  <si>
    <t>N 49°59.87952', E 14°51.89610'</t>
  </si>
  <si>
    <t>N 49°12.81348', E 15°11.19230'</t>
  </si>
  <si>
    <t>N 49°46.80972', E 18°27.37890'</t>
  </si>
  <si>
    <t>N 49°45.02238', E 13°22.85635'</t>
  </si>
  <si>
    <t>N 50°5.52673', E 16°28.93897'</t>
  </si>
  <si>
    <t>N 49°35.48850', E 17°17.19678'</t>
  </si>
  <si>
    <t>N 49°45.33102', E 13°27.21198'</t>
  </si>
  <si>
    <t>N 50°46.31898', E 14°11.59698'</t>
  </si>
  <si>
    <t>N 48°51.04438', E 16°3.19428'</t>
  </si>
  <si>
    <t>N 49°46.29720', E 18°26.06543'</t>
  </si>
  <si>
    <t>N 49°25.78620', E 18°13.11978'</t>
  </si>
  <si>
    <t>N 49°39.26725', E 14°26.86065'</t>
  </si>
  <si>
    <t>N 49°32.39343', E 13°27.32470'</t>
  </si>
  <si>
    <t>N 49°49.58748', E 17°3.93923'</t>
  </si>
  <si>
    <t>N 49°25.63567', E 16°21.46477'</t>
  </si>
  <si>
    <t>N 50°7.89420', E 14°25.46377'</t>
  </si>
  <si>
    <t>N 50°4.93722', E 16°18.45307'</t>
  </si>
  <si>
    <t>N 48°58.61280', E 14°28.42087'</t>
  </si>
  <si>
    <t>N 49°17.90693', E 17°50.63088'</t>
  </si>
  <si>
    <t>N 49°51.27180', E 18°32.41807'</t>
  </si>
  <si>
    <t>N 49°11.56347', E 16°36.67723'</t>
  </si>
  <si>
    <t>N 49°8.27085', E 16°20.90493'</t>
  </si>
  <si>
    <t>N 50°9.28085', E 15°27.55432'</t>
  </si>
  <si>
    <t>N 50°2.64360', E 14°19.89313'</t>
  </si>
  <si>
    <t>N 49°49.40588', E 14°2.64858'</t>
  </si>
  <si>
    <t>N 50°22.38138', E 14°18.41977'</t>
  </si>
  <si>
    <t>N 50°26.37828', E 14°5.09437'</t>
  </si>
  <si>
    <t>N 49°0.93137', E 17°7.52727'</t>
  </si>
  <si>
    <t>N 50°6.43587', E 14°51.33753'</t>
  </si>
  <si>
    <t>N 49°51.41570', E 13°36.75918'</t>
  </si>
  <si>
    <t>N 49°10.37448', E 13°38.24728'</t>
  </si>
  <si>
    <t>N 49°22.21370', E 18°21.43670'</t>
  </si>
  <si>
    <t>N 50°6.49688', E 14°28.94712'</t>
  </si>
  <si>
    <t>N 50°17.76160', E 15°40.56457'</t>
  </si>
  <si>
    <t>N 49°11.25460', E 16°37.69677'</t>
  </si>
  <si>
    <t>N 50°4.91707', E 12°22.49188'</t>
  </si>
  <si>
    <t>N 49°33.91090', E 17°2.92143'</t>
  </si>
  <si>
    <t>N 49°13.74613', E 13°31.45452'</t>
  </si>
  <si>
    <t>N 49°47.31225', E 18°32.29627'</t>
  </si>
  <si>
    <t>N 48°45.43177', E 16°53.18755'</t>
  </si>
  <si>
    <t>N 49°45.72965', E 18°12.30488'</t>
  </si>
  <si>
    <t>N 50°4.51788', E 14°27.45645'</t>
  </si>
  <si>
    <t>N 49°12.59793', E 15°59.36960'</t>
  </si>
  <si>
    <t>N 49°38.51322', E 17°13.86532'</t>
  </si>
  <si>
    <t>N 49°31.79608', E 12°56.58965'</t>
  </si>
  <si>
    <t>N 49°29.56873', E 17°7.87652'</t>
  </si>
  <si>
    <t>N 50°16.81753', E 12°50.73178'</t>
  </si>
  <si>
    <t>N 49°36.06977', E 17°4.09238'</t>
  </si>
  <si>
    <t>N 50°20.89740', E 12°30.67667'</t>
  </si>
  <si>
    <t>N 49°30.94167', E 16°14.86175'</t>
  </si>
  <si>
    <t>N 50°38.58025', E 13°49.78777'</t>
  </si>
  <si>
    <t>N 49°12.84115', E 16°49.42653'</t>
  </si>
  <si>
    <t>N 48°52.76875', E 17°31.23547'</t>
  </si>
  <si>
    <t>N 49°0.73273', E 13°59.81433'</t>
  </si>
  <si>
    <t>N 48°54.07230', E 16°3.59453'</t>
  </si>
  <si>
    <t>N 49°30.12790', E 17°34.36343'</t>
  </si>
  <si>
    <t>N 49°36.14433', E 18°8.88425'</t>
  </si>
  <si>
    <t>N 49°37.02910', E 15°52.03275'</t>
  </si>
  <si>
    <t>N 49°33.02753', E 17°55.34007'</t>
  </si>
  <si>
    <t>N 50°5.04387', E 14°24.93353'</t>
  </si>
  <si>
    <t>N 49°46.14157', E 13°22.55053'</t>
  </si>
  <si>
    <t>N 50°5.25000', E 17°42.15638'</t>
  </si>
  <si>
    <t>N 49°44.93028', E 13°22.65340'</t>
  </si>
  <si>
    <t>N 49°48.72460', E 18°16.36958'</t>
  </si>
  <si>
    <t>N 49°32.97522', E 16°13.51550'</t>
  </si>
  <si>
    <t>N 50°5.22598', E 14°25.46500'</t>
  </si>
  <si>
    <t>N 50°1.78390', E 14°24.56152'</t>
  </si>
  <si>
    <t>N 50°1.81302', E 16°36.00448'</t>
  </si>
  <si>
    <t>N 50°2.01667', E 17°1.67923'</t>
  </si>
  <si>
    <t>N 50°10.48817', E 15°20.90295'</t>
  </si>
  <si>
    <t>N 49°17.34887', E 17°29.42888'</t>
  </si>
  <si>
    <t>N 49°8.65540', E 13°33.31887'</t>
  </si>
  <si>
    <t>N 49°28.61557', E 17°8.17877'</t>
  </si>
  <si>
    <t>N 49°13.50738', E 16°13.80078'</t>
  </si>
  <si>
    <t>N 49°25.25633', E 13°52.69353'</t>
  </si>
  <si>
    <t>N 49°43.60060', E 13°37.10522'</t>
  </si>
  <si>
    <t>N 50°17.53320', E 14°37.34260'</t>
  </si>
  <si>
    <t>N 50°15.72442', E 14°32.09302'</t>
  </si>
  <si>
    <t>N 49°25.87770', E 15°13.36853'</t>
  </si>
  <si>
    <t>N 49°33.72147', E 15°56.34195'</t>
  </si>
  <si>
    <t>N 49°53.27920', E 16°51.65885'</t>
  </si>
  <si>
    <t>N 50°0.16220', E 14°21.29117'</t>
  </si>
  <si>
    <t>N 50°5.30433', E 14°34.85235'</t>
  </si>
  <si>
    <t>N 50°23.72185', E 14°5.48962'</t>
  </si>
  <si>
    <t>N 50°40.73332', E 14°5.91290'</t>
  </si>
  <si>
    <t>N 50°1.67793', E 14°36.41362'</t>
  </si>
  <si>
    <t>N 49°20.32735', E 14°38.32522'</t>
  </si>
  <si>
    <t>N 49°26.58718', E 17°27.35787'</t>
  </si>
  <si>
    <t>N 49°18.76078', E 15°46.06447'</t>
  </si>
  <si>
    <t>N 50°1.94552', E 15°45.34585'</t>
  </si>
  <si>
    <t>N 50°38.44503', E 15°11.50570'</t>
  </si>
  <si>
    <t>N 50°26.71633', E 14°13.98422'</t>
  </si>
  <si>
    <t>N 50°44.49835', E 14°31.51417'</t>
  </si>
  <si>
    <t>N 50°21.04002', E 13°49.07618'</t>
  </si>
  <si>
    <t>N 50°4.57968', E 14°25.84873'</t>
  </si>
  <si>
    <t>N 50°13.71713', E 14°4.67823'</t>
  </si>
  <si>
    <t>N 50°0.45777', E 14°28.80410'</t>
  </si>
  <si>
    <t>N 49°28.74118', E 15°38.45885'</t>
  </si>
  <si>
    <t>N 49°35.69662', E 17°14.89878'</t>
  </si>
  <si>
    <t>N 50°44.73118', E 15°49.32102'</t>
  </si>
  <si>
    <t>N 50°12.54400', E 15°48.86395'</t>
  </si>
  <si>
    <t>N 50°37.39117', E 13°41.40087'</t>
  </si>
  <si>
    <t>N 49°12.08378', E 17°31.98872'</t>
  </si>
  <si>
    <t>N 49°28.89773', E 17°58.02123'</t>
  </si>
  <si>
    <t>N 49°16.99317', E 17°10.28597'</t>
  </si>
  <si>
    <t>N 50°32.24903', E 14°7.62212'</t>
  </si>
  <si>
    <t>N 48°56.25442', E 15°43.78647'</t>
  </si>
  <si>
    <t>N 50°44.38483', E 15°20.76010'</t>
  </si>
  <si>
    <t>N 50°41.80042', E 15°16.10240'</t>
  </si>
  <si>
    <t>N 49°25.57962', E 15°35.94412'</t>
  </si>
  <si>
    <t>N 49°59.29518', E 17°27.78245'</t>
  </si>
  <si>
    <t>N 49°23.95587', E 13°17.24525'</t>
  </si>
  <si>
    <t>N 49°13.33373', E 17°2.35060'</t>
  </si>
  <si>
    <t>N 49°56.10238', E 13°23.35225'</t>
  </si>
  <si>
    <t>N 49°58.28552', E 13°38.88167'</t>
  </si>
  <si>
    <t>N 50°47.88178', E 14°24.89000'</t>
  </si>
  <si>
    <t>N 49°59.74120', E 14°36.19423'</t>
  </si>
  <si>
    <t>N 48°47.95350', E 17°1.60098'</t>
  </si>
  <si>
    <t>N 49°12.62160', E 15°36.62217'</t>
  </si>
  <si>
    <t>N 49°28.09905', E 16°5.38340'</t>
  </si>
  <si>
    <t>N 50°21.71442', E 14°29.48030'</t>
  </si>
  <si>
    <t>N 49°48.74248', E 15°10.89205'</t>
  </si>
  <si>
    <t>N 49°54.46737', E 17°54.71478'</t>
  </si>
  <si>
    <t>N 49°28.47183', E 17°49.37655'</t>
  </si>
  <si>
    <t>N 50°4.87703', E 14°24.91203'</t>
  </si>
  <si>
    <t>N 48°53.03937', E 14°43.89957'</t>
  </si>
  <si>
    <t>N 50°38.99403', E 15°58.02077'</t>
  </si>
  <si>
    <t>N 49°46.42753', E 18°26.00795'</t>
  </si>
  <si>
    <t>N 49°57.72822', E 14°27.41423'</t>
  </si>
  <si>
    <t>N 50°48.75977', E 14°31.91328'</t>
  </si>
  <si>
    <t>N 49°56.94068', E 16°9.18167'</t>
  </si>
  <si>
    <t>N 49°4.62075', E 18°0.62937'</t>
  </si>
  <si>
    <t>N 50°27.65823', E 14°40.00763'</t>
  </si>
  <si>
    <t>N 50°37.30435', E 13°41.72048'</t>
  </si>
  <si>
    <t>N 49°45.69515', E 13°26.06252'</t>
  </si>
  <si>
    <t>N 48°56.10970', E 16°43.92935'</t>
  </si>
  <si>
    <t>N 49°4.01340', E 15°19.55107'</t>
  </si>
  <si>
    <t>N 48°48.45550', E 16°38.43835'</t>
  </si>
  <si>
    <t>N 50°1.09850', E 17°4.85323'</t>
  </si>
  <si>
    <t>N 49°48.71427', E 13°18.23230'</t>
  </si>
  <si>
    <t>N 49°36.01257', E 15°34.11612'</t>
  </si>
  <si>
    <t>N 49°56.00897', E 13°32.53812'</t>
  </si>
  <si>
    <t>N 49°3.05822', E 14°26.16235'</t>
  </si>
  <si>
    <t>N 49°32.12885', E 18°17.68893'</t>
  </si>
  <si>
    <t>N 49°17.79488', E 14°37.37053'</t>
  </si>
  <si>
    <t>N 49°51.04782', E 14°13.15742'</t>
  </si>
  <si>
    <t>N 50°5.60788', E 14°25.58110'</t>
  </si>
  <si>
    <t>N 49°54.68627', E 15°13.31658'</t>
  </si>
  <si>
    <t>N 49°4.95888', E 17°29.42963'</t>
  </si>
  <si>
    <t>N 49°39.57832', E 13°31.57255'</t>
  </si>
  <si>
    <t>N 50°10.90617', E 13°48.61785'</t>
  </si>
  <si>
    <t>N 48°51.03373', E 17°7.04932'</t>
  </si>
  <si>
    <t>N 49°58.04670', E 17°0.11115'</t>
  </si>
  <si>
    <t>N 50°1.72733', E 15°54.91460'</t>
  </si>
  <si>
    <t>N 50°8.56660', E 15°6.96590'</t>
  </si>
  <si>
    <t>N 49°18.11053', E 15°4.70395'</t>
  </si>
  <si>
    <t>N 50°28.73998', E 14°8.73265'</t>
  </si>
  <si>
    <t>N 49°12.71218', E 16°36.02002'</t>
  </si>
  <si>
    <t>N 49°10.32772', E 14°34.85905'</t>
  </si>
  <si>
    <t>N 49°0.05135', E 14°11.87758'</t>
  </si>
  <si>
    <t>N 49°23.62485', E 15°35.19975'</t>
  </si>
  <si>
    <t>N 50°3.11565', E 14°5.95125'</t>
  </si>
  <si>
    <t>N 50°43.90998', E 15°10.19425'</t>
  </si>
  <si>
    <t>N 49°51.55725', E 18°19.80365'</t>
  </si>
  <si>
    <t>N 49°45.02417', E 13°21.93977'</t>
  </si>
  <si>
    <t>N 48°48.79830', E 14°19.16782'</t>
  </si>
  <si>
    <t>N 49°17.45643', E 17°44.41852'</t>
  </si>
  <si>
    <t>N 49°43.33913', E 18°4.71993'</t>
  </si>
  <si>
    <t>N 49°11.17057', E 15°27.92780'</t>
  </si>
  <si>
    <t>N 50°22.17993', E 15°38.30242'</t>
  </si>
  <si>
    <t>N 50°31.87633', E 14°13.04855'</t>
  </si>
  <si>
    <t>N 49°22.17775', E 17°6.75077'</t>
  </si>
  <si>
    <t>N 50°31.17320', E 14°23.06065'</t>
  </si>
  <si>
    <t>N 48°47.83223', E 15°59.22653'</t>
  </si>
  <si>
    <t>N 49°28.15127', E 17°7.83053'</t>
  </si>
  <si>
    <t>N 49°34.36448', E 13°19.83663'</t>
  </si>
  <si>
    <t>N 49°28.42702', E 17°58.31903'</t>
  </si>
  <si>
    <t>N 49°15.28948', E 16°37.37642'</t>
  </si>
  <si>
    <t>N 49°2.34145', E 16°18.74477'</t>
  </si>
  <si>
    <t>N 50°12.56677', E 15°50.08750'</t>
  </si>
  <si>
    <t>N 49°16.55573', E 16°59.94563'</t>
  </si>
  <si>
    <t>N 50°4.55808', E 14°26.27495'</t>
  </si>
  <si>
    <t>N 50°4.65290', E 14°24.31017'</t>
  </si>
  <si>
    <t>N 48°48.79678', E 16°38.42467'</t>
  </si>
  <si>
    <t>N 49°50.12620', E 18°17.63970'</t>
  </si>
  <si>
    <t>N 50°4.29412', E 14°26.82967'</t>
  </si>
  <si>
    <t>N 50°5.63065', E 14°27.37018'</t>
  </si>
  <si>
    <t>N 49°11.75605', E 16°36.58202'</t>
  </si>
  <si>
    <t>N 49°11.49720', E 16°39.27793'</t>
  </si>
  <si>
    <t>N 50°4.62508', E 14°27.00083'</t>
  </si>
  <si>
    <t>N 50°4.65805', E 14°26.37673'</t>
  </si>
  <si>
    <t>N 50°17.67723', E 16°9.63615'</t>
  </si>
  <si>
    <t>N 50°4.52682', E 14°26.28170'</t>
  </si>
  <si>
    <t>N 50°4.72613', E 14°25.40538'</t>
  </si>
  <si>
    <t>N 49°11.55775', E 16°36.49932'</t>
  </si>
  <si>
    <t>N 50°14.56818', E 12°50.23580'</t>
  </si>
  <si>
    <t>N 49°4.17358', E 17°27.52825'</t>
  </si>
  <si>
    <t>N 49°40.57197', E 18°20.03322'</t>
  </si>
  <si>
    <t>N 50°11.68700', E 15°50.44142'</t>
  </si>
  <si>
    <t>N 49°11.40430', E 16°34.98018'</t>
  </si>
  <si>
    <t>N 48°45.30937', E 16°53.38945'</t>
  </si>
  <si>
    <t>N 50°4.08645', E 14°26.17470'</t>
  </si>
  <si>
    <t>N 49°44.88417', E 13°22.69853'</t>
  </si>
  <si>
    <t>N 50°5.47507', E 14°25.86683'</t>
  </si>
  <si>
    <t>N 49°12.18342', E 16°35.81883'</t>
  </si>
  <si>
    <t>N 48°52.95980', E 17°31.18373'</t>
  </si>
  <si>
    <t>N 50°5.47865', E 14°25.81325'</t>
  </si>
  <si>
    <t>N 50°4.70352', E 14°25.61400'</t>
  </si>
  <si>
    <t>N 49°12.03373', E 16°35.76392'</t>
  </si>
  <si>
    <t>N 49°45.78380', E 18°14.28695'</t>
  </si>
  <si>
    <t>N 48°58.96555', E 14°27.29812'</t>
  </si>
  <si>
    <t>N 49°50.99832', E 18°16.79265'</t>
  </si>
  <si>
    <t>N 49°46.99270', E 18°13.41672'</t>
  </si>
  <si>
    <t>N 49°11.93370', E 16°35.47030'</t>
  </si>
  <si>
    <t>N 50°5.07882', E 14°30.45845'</t>
  </si>
  <si>
    <t>N 49°23.82542', E 13°17.29140'</t>
  </si>
  <si>
    <t>N 50°12.89252', E 15°49.46633'</t>
  </si>
  <si>
    <t>N 49°18.07890', E 17°23.36432'</t>
  </si>
  <si>
    <t>N 49°12.36877', E 16°37.35370'</t>
  </si>
  <si>
    <t>N 49°12.07817', E 16°36.47013'</t>
  </si>
  <si>
    <t>N 50°21.09203', E 14°28.46605'</t>
  </si>
  <si>
    <t>N 49°23.74365', E 15°35.35540'</t>
  </si>
  <si>
    <t>N 48°36.95548', E 14°18.75850'</t>
  </si>
  <si>
    <t>N 49°11.75597', E 16°36.70298'</t>
  </si>
  <si>
    <t>N 50°0.96633', E 17°4.86145'</t>
  </si>
  <si>
    <t>N 49°42.16428', E 13°28.22942'</t>
  </si>
  <si>
    <t>N 50°2.06063', E 15°46.29135'</t>
  </si>
  <si>
    <t>N 49°24.01360', E 15°35.26342'</t>
  </si>
  <si>
    <t>N 50°5.49638', E 14°28.41957'</t>
  </si>
  <si>
    <t>N 50°12.58438', E 15°50.14113'</t>
  </si>
  <si>
    <t>N 50°2.19167', E 16°29.75910'</t>
  </si>
  <si>
    <t>N 49°44.52723', E 13°35.74555'</t>
  </si>
  <si>
    <t>N 49°44.89860', E 13°22.74122'</t>
  </si>
  <si>
    <t>N 49°47.49417', E 18°24.32447'</t>
  </si>
  <si>
    <t>N 50°6.52940', E 14°51.24265'</t>
  </si>
  <si>
    <t>N 49°51.44270', E 13°36.08095'</t>
  </si>
  <si>
    <t>N 50°1.78135', E 14°36.31185'</t>
  </si>
  <si>
    <t>N 49°52.01512', E 17°52.36325'</t>
  </si>
  <si>
    <t>N 50°5.43443', E 14°26.48998'</t>
  </si>
  <si>
    <t>N 49°44.74092', E 13°22.46525'</t>
  </si>
  <si>
    <t>N 50°7.60705', E 14°26.85295'</t>
  </si>
  <si>
    <t>N 50°4.46728', E 14°26.18738'</t>
  </si>
  <si>
    <t>N 50°5.10068', E 14°24.83910'</t>
  </si>
  <si>
    <t>N 49°12.00137', E 16°36.63707'</t>
  </si>
  <si>
    <t>N 49°42.63547', E 18°31.82807'</t>
  </si>
  <si>
    <t>N 49°17.882', E 17°23.561'</t>
  </si>
  <si>
    <t>N 49°33.73558', E 15°56.35958'</t>
  </si>
  <si>
    <t>N 49°12.21713', E 16°35.71492'</t>
  </si>
  <si>
    <t>N 49°11.48162', E 16°36.96068'</t>
  </si>
  <si>
    <t>N 49°13.34262', E 17°50.73333'</t>
  </si>
  <si>
    <t>N 49°47.84328', E 13°26.97663'</t>
  </si>
  <si>
    <t>N 49°46.62067', E 18°13.20463'</t>
  </si>
  <si>
    <t>N 49°12.11977', E 16°35.89710'</t>
  </si>
  <si>
    <t>N 49°11.83743', E 16°36.46847'</t>
  </si>
  <si>
    <t>N 49°13.49508', E 16°34.99110'</t>
  </si>
  <si>
    <t>N 49°20.97540', E 16°25.20513'</t>
  </si>
  <si>
    <t>N 49°11.49727', E 16°36.36758'</t>
  </si>
  <si>
    <t>N 49°44.12822', E 13°22.24235'</t>
  </si>
  <si>
    <t>N 49°13.40880', E 16°35.59520'</t>
  </si>
  <si>
    <t>N 50°14.01728', E 12°51.49492'</t>
  </si>
  <si>
    <t>N 49°12.64622', E 16°35.21582'</t>
  </si>
  <si>
    <t>N 50°13.62095', E 17°11.74648'</t>
  </si>
  <si>
    <t>N 49°56.38103', E 17°54.35478'</t>
  </si>
  <si>
    <t>N 49°11.58568', E 16°36.37885'</t>
  </si>
  <si>
    <t>N 49°12.73137', E 16°35.29095'</t>
  </si>
  <si>
    <t>N 49°47.17117', E 18°7.92400'</t>
  </si>
  <si>
    <t>N 50°4.684', E 14°26.876'</t>
  </si>
  <si>
    <t>N 49°44.43590', E 13°22.41573'</t>
  </si>
  <si>
    <t>N 50°6.23883', E 14°30.70453'</t>
  </si>
  <si>
    <t>N 49°2.385', E 16°19.285'</t>
  </si>
  <si>
    <t>N 49°26.49808', E 12°55.79587'</t>
  </si>
  <si>
    <t>N 49°0.78385', E 13°59.84267'</t>
  </si>
  <si>
    <t>N 49°17.40225', E 17°23.43567'</t>
  </si>
  <si>
    <t>N 49°41.36083', E 14°0.83830'</t>
  </si>
  <si>
    <t>N 49°46.93783', E 18°16.17345'</t>
  </si>
  <si>
    <t>N 49°11.77800', E 16°36.10800'</t>
  </si>
  <si>
    <t>N 48°51.28295', E 16°2.93477'</t>
  </si>
  <si>
    <t>N 49°11.99308', E 16°36.38765'</t>
  </si>
  <si>
    <t>N 49°10.89398', E 16°35.94128'</t>
  </si>
  <si>
    <t>N 48°56.25980', E 15°43.76637'</t>
  </si>
  <si>
    <t>N 50°2.44467', E 15°46.84797'</t>
  </si>
  <si>
    <t>N 49°11.74810', E 16°36.64205'</t>
  </si>
  <si>
    <t>N 49°11.53753', E 16°36.42830'</t>
  </si>
  <si>
    <t>N 49°11.54482', E 16°36.29060'</t>
  </si>
  <si>
    <t>N 49°21.87927', E 16°38.83113'</t>
  </si>
  <si>
    <t>N 49°11.96022', E 16°35.61823'</t>
  </si>
  <si>
    <t>Hostivar H2</t>
  </si>
  <si>
    <t>MISTO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</si>
</sst>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
  </numFmts>
  <fonts count="39">
    <font>
      <sz val="11"/>
      <color rgb="FF000000"/>
      <name val="Calibri"/>
    </font>
    <font>
      <b/>
      <sz val="11"/>
      <color rgb="FF000000"/>
      <name val="Calibri"/>
    </font>
    <font>
      <sz val="11"/>
      <name val="Calibri"/>
    </font>
    <font>
      <sz val="11"/>
      <name val="Calibri"/>
    </font>
    <font>
      <u/>
      <sz val="11"/>
      <color rgb="FF000000"/>
      <name val="Calibri"/>
    </font>
    <font>
      <u/>
      <sz val="11"/>
      <color rgb="FF000000"/>
      <name val="Calibri"/>
    </font>
    <font>
      <u/>
      <sz val="11"/>
      <color rgb="FF000000"/>
      <name val="Calibri"/>
    </font>
    <font>
      <u/>
      <sz val="11"/>
      <color rgb="FF0000FF"/>
      <name val="Calibri"/>
    </font>
    <font>
      <u/>
      <sz val="11"/>
      <color rgb="FF000000"/>
      <name val="Calibri"/>
    </font>
    <font>
      <u/>
      <sz val="11"/>
      <color rgb="FF000000"/>
      <name val="Calibri"/>
    </font>
    <font>
      <b/>
      <sz val="11"/>
      <color rgb="FFFF0000"/>
      <name val="Calibri"/>
    </font>
    <font>
      <u/>
      <sz val="11"/>
      <color rgb="FF000000"/>
      <name val="Calibri"/>
    </font>
    <font>
      <u/>
      <sz val="11"/>
      <color rgb="FF000000"/>
      <name val="Calibri"/>
    </font>
    <font>
      <u/>
      <sz val="11"/>
      <color rgb="FF0000FF"/>
      <name val="Calibri"/>
    </font>
    <font>
      <u/>
      <sz val="11"/>
      <color rgb="FF0000FF"/>
      <name val="Calibri"/>
    </font>
    <font>
      <u/>
      <sz val="11"/>
      <color rgb="FF0000FF"/>
      <name val="Calibri"/>
    </font>
    <font>
      <u/>
      <sz val="11"/>
      <color rgb="FF0000FF"/>
      <name val="Calibri"/>
    </font>
    <font>
      <u/>
      <sz val="11"/>
      <color rgb="FF000000"/>
      <name val="Calibri"/>
    </font>
    <font>
      <u/>
      <sz val="11"/>
      <color rgb="FF0000FF"/>
      <name val="Calibri"/>
    </font>
    <font>
      <u/>
      <sz val="11"/>
      <color rgb="FF1155CC"/>
      <name val="Calibri"/>
    </font>
    <font>
      <u/>
      <sz val="11"/>
      <color rgb="FF1155CC"/>
      <name val="Calibri"/>
    </font>
    <font>
      <u/>
      <sz val="11"/>
      <color rgb="FF1155CC"/>
      <name val="Calibri"/>
    </font>
    <font>
      <sz val="11"/>
      <color rgb="FF000000"/>
      <name val="'Calibri'"/>
    </font>
    <font>
      <u/>
      <sz val="11"/>
      <color rgb="FF0000FF"/>
      <name val="Calibri"/>
    </font>
    <font>
      <u/>
      <sz val="11"/>
      <color rgb="FF0000FF"/>
      <name val="Calibri"/>
    </font>
    <font>
      <sz val="12"/>
      <color rgb="FF000000"/>
      <name val="Calibri"/>
    </font>
    <font>
      <u/>
      <sz val="11"/>
      <color rgb="FF1155CC"/>
      <name val="Calibri"/>
    </font>
    <font>
      <u/>
      <sz val="11"/>
      <color rgb="FF000000"/>
      <name val="Calibri"/>
    </font>
    <font>
      <sz val="11"/>
      <color rgb="FF000000"/>
      <name val="'Arial'"/>
    </font>
    <font>
      <b/>
      <sz val="11"/>
      <name val="Calibri"/>
    </font>
    <font>
      <u/>
      <sz val="11"/>
      <color theme="10"/>
      <name val="Calibri"/>
    </font>
    <font>
      <b/>
      <sz val="11"/>
      <color rgb="FF000000"/>
      <name val="Calibri"/>
      <family val="2"/>
      <charset val="238"/>
    </font>
    <font>
      <sz val="11"/>
      <color rgb="FF000000"/>
      <name val="Calibri"/>
      <family val="2"/>
      <charset val="238"/>
    </font>
    <font>
      <sz val="11"/>
      <name val="Calibri"/>
      <family val="2"/>
      <charset val="238"/>
    </font>
    <font>
      <u/>
      <sz val="11"/>
      <color rgb="FF000000"/>
      <name val="Calibri"/>
      <family val="2"/>
      <charset val="238"/>
    </font>
    <font>
      <u/>
      <sz val="11"/>
      <color theme="10"/>
      <name val="Calibri"/>
      <family val="2"/>
      <charset val="238"/>
    </font>
    <font>
      <b/>
      <sz val="11"/>
      <color rgb="FFFF0000"/>
      <name val="Calibri"/>
      <family val="2"/>
      <charset val="238"/>
    </font>
    <font>
      <u/>
      <sz val="11"/>
      <color rgb="FF0000FF"/>
      <name val="Calibri"/>
      <family val="2"/>
      <charset val="238"/>
    </font>
    <font>
      <u/>
      <sz val="11"/>
      <color rgb="FF1155CC"/>
      <name val="Calibri"/>
      <family val="2"/>
      <charset val="238"/>
    </font>
  </fonts>
  <fills count="6">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D8D8D8"/>
        <bgColor rgb="FFD8D8D8"/>
      </patternFill>
    </fill>
    <fill>
      <patternFill patternType="solid">
        <fgColor rgb="FFBFBFBF"/>
        <bgColor rgb="FFBFBFBF"/>
      </patternFill>
    </fill>
  </fills>
  <borders count="3">
    <border>
      <left/>
      <right/>
      <top/>
      <bottom/>
      <diagonal/>
    </border>
    <border>
      <left/>
      <right/>
      <top/>
      <bottom/>
      <diagonal/>
    </border>
    <border>
      <left/>
      <right/>
      <top/>
      <bottom/>
      <diagonal/>
    </border>
  </borders>
  <cellStyleXfs count="2">
    <xf numFmtId="0" fontId="0" fillId="0" borderId="0"/>
    <xf numFmtId="0" fontId="30" fillId="0" borderId="0" applyNumberFormat="0" applyFill="0" applyBorder="0" applyAlignment="0" applyProtection="0"/>
  </cellStyleXfs>
  <cellXfs count="120">
    <xf numFmtId="0" fontId="0" fillId="0" borderId="0" xfId="0" applyFont="1" applyAlignment="1"/>
    <xf numFmtId="0" fontId="1" fillId="2" borderId="1" xfId="0" applyFont="1" applyFill="1" applyBorder="1" applyAlignment="1">
      <alignment horizontal="center"/>
    </xf>
    <xf numFmtId="0" fontId="1" fillId="2" borderId="1" xfId="0" applyFont="1" applyFill="1" applyBorder="1" applyAlignment="1">
      <alignment horizontal="center"/>
    </xf>
    <xf numFmtId="164" fontId="1" fillId="2" borderId="1" xfId="0" applyNumberFormat="1" applyFont="1" applyFill="1" applyBorder="1" applyAlignment="1">
      <alignment horizontal="center"/>
    </xf>
    <xf numFmtId="0" fontId="1" fillId="4" borderId="0" xfId="0" applyFont="1" applyFill="1" applyAlignment="1">
      <alignment horizontal="center"/>
    </xf>
    <xf numFmtId="0" fontId="1" fillId="2" borderId="1" xfId="0" applyFont="1" applyFill="1" applyBorder="1" applyAlignment="1">
      <alignment horizontal="center"/>
    </xf>
    <xf numFmtId="0" fontId="0" fillId="0" borderId="0" xfId="0" applyFont="1"/>
    <xf numFmtId="0" fontId="1" fillId="4" borderId="1" xfId="0" applyFont="1" applyFill="1" applyBorder="1" applyAlignment="1">
      <alignment horizontal="center"/>
    </xf>
    <xf numFmtId="0" fontId="0" fillId="0" borderId="0" xfId="0" applyFont="1" applyAlignment="1">
      <alignment horizontal="left"/>
    </xf>
    <xf numFmtId="0" fontId="2" fillId="0" borderId="0" xfId="0" applyFont="1" applyAlignment="1"/>
    <xf numFmtId="0" fontId="3" fillId="0" borderId="0" xfId="0" applyFont="1"/>
    <xf numFmtId="0" fontId="0" fillId="0" borderId="0" xfId="0" applyFont="1" applyAlignment="1">
      <alignment horizontal="right"/>
    </xf>
    <xf numFmtId="0" fontId="0" fillId="0" borderId="0" xfId="0" applyFont="1" applyAlignment="1"/>
    <xf numFmtId="0" fontId="4" fillId="0" borderId="0" xfId="0" applyFont="1"/>
    <xf numFmtId="0" fontId="0" fillId="0" borderId="0" xfId="0" applyFont="1" applyAlignment="1">
      <alignment horizontal="right"/>
    </xf>
    <xf numFmtId="0" fontId="5" fillId="0" borderId="0" xfId="0" applyFont="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0" borderId="0" xfId="0" applyFont="1" applyAlignment="1">
      <alignment horizontal="right"/>
    </xf>
    <xf numFmtId="0" fontId="0" fillId="0" borderId="0" xfId="0" applyFont="1" applyAlignment="1"/>
    <xf numFmtId="0" fontId="3" fillId="0" borderId="0" xfId="0" applyFont="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0" borderId="0" xfId="0" applyFont="1" applyAlignment="1">
      <alignment horizontal="right" vertical="center" wrapText="1"/>
    </xf>
    <xf numFmtId="0" fontId="0" fillId="0" borderId="0" xfId="0" applyFont="1" applyAlignment="1"/>
    <xf numFmtId="0" fontId="6" fillId="0" borderId="0" xfId="0" applyFont="1" applyAlignment="1"/>
    <xf numFmtId="164" fontId="0" fillId="0" borderId="0" xfId="0" applyNumberFormat="1" applyFont="1"/>
    <xf numFmtId="0" fontId="7" fillId="0" borderId="0" xfId="0" applyFont="1"/>
    <xf numFmtId="0" fontId="3" fillId="0" borderId="0" xfId="0" applyFont="1" applyAlignment="1"/>
    <xf numFmtId="0" fontId="8" fillId="0" borderId="0" xfId="0" applyFont="1" applyAlignment="1"/>
    <xf numFmtId="0" fontId="0" fillId="0" borderId="2" xfId="0" applyFont="1" applyBorder="1"/>
    <xf numFmtId="0" fontId="9" fillId="0" borderId="2" xfId="0" applyFont="1" applyBorder="1" applyAlignment="1"/>
    <xf numFmtId="0" fontId="10" fillId="0" borderId="0" xfId="0" applyFont="1" applyAlignment="1"/>
    <xf numFmtId="0" fontId="0" fillId="0" borderId="0" xfId="0" applyFont="1" applyAlignment="1">
      <alignment horizontal="right"/>
    </xf>
    <xf numFmtId="0" fontId="11" fillId="0" borderId="2" xfId="0" applyFont="1" applyBorder="1"/>
    <xf numFmtId="0" fontId="0" fillId="0" borderId="0" xfId="0" applyFont="1" applyAlignment="1"/>
    <xf numFmtId="0" fontId="12" fillId="0" borderId="0" xfId="0" applyFont="1" applyAlignment="1"/>
    <xf numFmtId="0" fontId="0" fillId="0" borderId="0" xfId="0" applyFont="1"/>
    <xf numFmtId="0" fontId="2" fillId="0" borderId="0" xfId="0" applyFont="1" applyAlignment="1"/>
    <xf numFmtId="164" fontId="3" fillId="0" borderId="0" xfId="0" applyNumberFormat="1" applyFont="1"/>
    <xf numFmtId="0" fontId="13" fillId="0" borderId="0" xfId="0" applyFont="1"/>
    <xf numFmtId="0" fontId="14" fillId="0" borderId="2" xfId="0" applyFont="1" applyBorder="1"/>
    <xf numFmtId="0" fontId="2" fillId="0" borderId="2" xfId="0" applyFont="1" applyBorder="1"/>
    <xf numFmtId="0" fontId="0" fillId="0" borderId="2" xfId="0" applyFont="1" applyBorder="1" applyAlignment="1"/>
    <xf numFmtId="0" fontId="0" fillId="0" borderId="2" xfId="0" applyFont="1" applyBorder="1" applyAlignment="1"/>
    <xf numFmtId="0" fontId="15" fillId="0" borderId="0" xfId="0" applyFont="1" applyAlignment="1"/>
    <xf numFmtId="0" fontId="16" fillId="0" borderId="2" xfId="0" applyFont="1" applyBorder="1" applyAlignment="1"/>
    <xf numFmtId="0" fontId="17" fillId="0" borderId="2" xfId="0" applyFont="1" applyBorder="1" applyAlignment="1"/>
    <xf numFmtId="0" fontId="3" fillId="0" borderId="0" xfId="0" applyFont="1" applyAlignment="1"/>
    <xf numFmtId="0" fontId="3" fillId="0" borderId="2" xfId="0" applyFont="1" applyBorder="1" applyAlignment="1"/>
    <xf numFmtId="0" fontId="18" fillId="0" borderId="0" xfId="0" applyFont="1" applyAlignment="1"/>
    <xf numFmtId="0" fontId="3" fillId="0" borderId="0" xfId="0" applyFont="1" applyAlignment="1">
      <alignment horizontal="right"/>
    </xf>
    <xf numFmtId="0" fontId="19" fillId="0" borderId="2" xfId="0" applyFont="1" applyBorder="1" applyAlignment="1"/>
    <xf numFmtId="0" fontId="20" fillId="0" borderId="2" xfId="0" applyFont="1" applyBorder="1" applyAlignment="1"/>
    <xf numFmtId="0" fontId="21" fillId="0" borderId="0" xfId="0" applyFont="1" applyAlignment="1"/>
    <xf numFmtId="0" fontId="3" fillId="0" borderId="2" xfId="0" applyFont="1" applyBorder="1" applyAlignment="1"/>
    <xf numFmtId="0" fontId="2" fillId="0" borderId="2" xfId="0" applyFont="1" applyBorder="1" applyAlignment="1"/>
    <xf numFmtId="0" fontId="2" fillId="3" borderId="2" xfId="0" applyFont="1" applyFill="1" applyBorder="1"/>
    <xf numFmtId="0" fontId="2" fillId="0" borderId="2" xfId="0" applyFont="1" applyBorder="1" applyAlignment="1"/>
    <xf numFmtId="0" fontId="22" fillId="0" borderId="0" xfId="0" applyFont="1" applyAlignment="1"/>
    <xf numFmtId="0" fontId="23" fillId="0" borderId="0" xfId="0" applyFont="1"/>
    <xf numFmtId="0" fontId="24" fillId="0" borderId="0" xfId="0" applyFont="1" applyAlignment="1"/>
    <xf numFmtId="0" fontId="2" fillId="0" borderId="0" xfId="0" applyFont="1" applyAlignment="1">
      <alignment horizontal="right"/>
    </xf>
    <xf numFmtId="0" fontId="2" fillId="0" borderId="0" xfId="0" applyFont="1"/>
    <xf numFmtId="164" fontId="2" fillId="0" borderId="0" xfId="0" applyNumberFormat="1" applyFont="1" applyAlignment="1"/>
    <xf numFmtId="0" fontId="0" fillId="0" borderId="0" xfId="0" applyFont="1" applyAlignment="1"/>
    <xf numFmtId="164" fontId="0" fillId="0" borderId="0" xfId="0" applyNumberFormat="1" applyFont="1" applyAlignment="1">
      <alignment horizontal="right"/>
    </xf>
    <xf numFmtId="164" fontId="0" fillId="0" borderId="0" xfId="0" applyNumberFormat="1" applyFont="1" applyAlignment="1"/>
    <xf numFmtId="0" fontId="0" fillId="0" borderId="0" xfId="0" applyFont="1" applyAlignment="1">
      <alignment wrapText="1"/>
    </xf>
    <xf numFmtId="0" fontId="25" fillId="0" borderId="0" xfId="0" applyFont="1"/>
    <xf numFmtId="0" fontId="0" fillId="0" borderId="0" xfId="0" applyFont="1" applyAlignment="1">
      <alignment horizontal="right" vertical="center" wrapText="1"/>
    </xf>
    <xf numFmtId="0" fontId="0" fillId="0" borderId="0" xfId="0" applyFont="1"/>
    <xf numFmtId="0" fontId="2" fillId="0" borderId="0" xfId="0" applyFont="1"/>
    <xf numFmtId="0" fontId="22" fillId="0" borderId="0" xfId="0" applyFont="1" applyAlignment="1"/>
    <xf numFmtId="0" fontId="3" fillId="0" borderId="0" xfId="0" applyFont="1" applyAlignment="1"/>
    <xf numFmtId="0" fontId="0" fillId="3" borderId="0" xfId="0" applyFont="1" applyFill="1" applyAlignment="1">
      <alignment horizontal="left" vertical="top"/>
    </xf>
    <xf numFmtId="0" fontId="26" fillId="0" borderId="0" xfId="0" applyFont="1" applyAlignment="1"/>
    <xf numFmtId="49" fontId="1" fillId="2" borderId="1" xfId="0" applyNumberFormat="1" applyFont="1" applyFill="1" applyBorder="1" applyAlignment="1">
      <alignment horizontal="center"/>
    </xf>
    <xf numFmtId="0" fontId="1" fillId="2" borderId="0" xfId="0" applyFont="1" applyFill="1" applyAlignment="1">
      <alignment horizontal="center"/>
    </xf>
    <xf numFmtId="0" fontId="27" fillId="0" borderId="0" xfId="0" applyFont="1" applyAlignment="1"/>
    <xf numFmtId="0" fontId="0" fillId="0" borderId="0" xfId="0" applyFont="1" applyAlignment="1">
      <alignment horizontal="right"/>
    </xf>
    <xf numFmtId="0" fontId="28" fillId="0" borderId="0" xfId="0" applyFont="1" applyAlignment="1"/>
    <xf numFmtId="0" fontId="29" fillId="5" borderId="1" xfId="0" applyFont="1" applyFill="1" applyBorder="1" applyAlignment="1">
      <alignment horizontal="center"/>
    </xf>
    <xf numFmtId="49" fontId="29" fillId="5" borderId="1" xfId="0" applyNumberFormat="1" applyFont="1" applyFill="1" applyBorder="1" applyAlignment="1">
      <alignment horizontal="center"/>
    </xf>
    <xf numFmtId="49" fontId="0" fillId="0" borderId="0" xfId="0" applyNumberFormat="1" applyFont="1"/>
    <xf numFmtId="0" fontId="1" fillId="0" borderId="0" xfId="0" applyFont="1" applyAlignment="1">
      <alignment horizontal="center"/>
    </xf>
    <xf numFmtId="164" fontId="1" fillId="0" borderId="0" xfId="0" applyNumberFormat="1" applyFont="1" applyAlignment="1">
      <alignment horizontal="center"/>
    </xf>
    <xf numFmtId="17" fontId="0" fillId="0" borderId="0" xfId="0" applyNumberFormat="1" applyFont="1"/>
    <xf numFmtId="49" fontId="0" fillId="0" borderId="0" xfId="0" applyNumberFormat="1" applyFont="1" applyAlignment="1"/>
    <xf numFmtId="49" fontId="0" fillId="0" borderId="0" xfId="0" applyNumberFormat="1" applyFont="1" applyAlignment="1">
      <alignment horizontal="right"/>
    </xf>
    <xf numFmtId="0" fontId="0" fillId="0" borderId="0" xfId="0" applyFont="1" applyAlignment="1">
      <alignment horizontal="center"/>
    </xf>
    <xf numFmtId="0" fontId="31" fillId="2" borderId="1" xfId="0" applyFont="1" applyFill="1" applyBorder="1" applyAlignment="1">
      <alignment horizontal="center"/>
    </xf>
    <xf numFmtId="164" fontId="31" fillId="2" borderId="1" xfId="0" applyNumberFormat="1" applyFont="1" applyFill="1" applyBorder="1" applyAlignment="1">
      <alignment horizontal="center"/>
    </xf>
    <xf numFmtId="0" fontId="31" fillId="4" borderId="2" xfId="0" applyFont="1" applyFill="1" applyBorder="1" applyAlignment="1">
      <alignment horizontal="center"/>
    </xf>
    <xf numFmtId="0" fontId="32" fillId="0" borderId="0" xfId="0" applyFont="1"/>
    <xf numFmtId="0" fontId="32" fillId="0" borderId="0" xfId="0" applyFont="1" applyAlignment="1">
      <alignment horizontal="center"/>
    </xf>
    <xf numFmtId="0" fontId="33" fillId="0" borderId="0" xfId="0" applyFont="1"/>
    <xf numFmtId="0" fontId="33" fillId="0" borderId="0" xfId="0" applyFont="1" applyAlignment="1">
      <alignment horizontal="center"/>
    </xf>
    <xf numFmtId="0" fontId="32" fillId="0" borderId="0" xfId="0" applyFont="1" applyAlignment="1"/>
    <xf numFmtId="0" fontId="32" fillId="0" borderId="0" xfId="0" applyFont="1" applyAlignment="1">
      <alignment horizontal="right"/>
    </xf>
    <xf numFmtId="0" fontId="34" fillId="0" borderId="0" xfId="0" applyFont="1"/>
    <xf numFmtId="0" fontId="33" fillId="0" borderId="0" xfId="0" applyFont="1" applyAlignment="1"/>
    <xf numFmtId="0" fontId="32" fillId="0" borderId="2" xfId="0" applyFont="1" applyBorder="1" applyAlignment="1"/>
    <xf numFmtId="0" fontId="35" fillId="0" borderId="0" xfId="1" applyFont="1"/>
    <xf numFmtId="0" fontId="32" fillId="0" borderId="0" xfId="0" applyFont="1" applyAlignment="1">
      <alignment horizontal="right" vertical="center" wrapText="1"/>
    </xf>
    <xf numFmtId="0" fontId="34" fillId="0" borderId="0" xfId="0" applyFont="1" applyAlignment="1"/>
    <xf numFmtId="164" fontId="32" fillId="0" borderId="0" xfId="0" applyNumberFormat="1" applyFont="1"/>
    <xf numFmtId="0" fontId="36" fillId="0" borderId="0" xfId="0" applyFont="1"/>
    <xf numFmtId="0" fontId="32" fillId="0" borderId="0" xfId="0" applyFont="1" applyAlignment="1">
      <alignment horizontal="left"/>
    </xf>
    <xf numFmtId="164" fontId="33" fillId="0" borderId="0" xfId="0" applyNumberFormat="1" applyFont="1" applyAlignment="1"/>
    <xf numFmtId="164" fontId="33" fillId="0" borderId="0" xfId="0" applyNumberFormat="1" applyFont="1"/>
    <xf numFmtId="0" fontId="37" fillId="0" borderId="0" xfId="0" applyFont="1"/>
    <xf numFmtId="0" fontId="37" fillId="0" borderId="0" xfId="0" applyFont="1" applyAlignment="1"/>
    <xf numFmtId="0" fontId="33" fillId="0" borderId="0" xfId="0" applyFont="1" applyAlignment="1">
      <alignment horizontal="right"/>
    </xf>
    <xf numFmtId="0" fontId="38" fillId="0" borderId="0" xfId="0" applyFont="1"/>
    <xf numFmtId="0" fontId="33" fillId="3" borderId="1" xfId="0" applyFont="1" applyFill="1" applyBorder="1"/>
    <xf numFmtId="164" fontId="32" fillId="0" borderId="0" xfId="0" applyNumberFormat="1" applyFont="1" applyAlignment="1">
      <alignment horizontal="right"/>
    </xf>
    <xf numFmtId="0" fontId="33" fillId="0" borderId="0" xfId="0" applyFont="1" applyAlignment="1">
      <alignment horizontal="left"/>
    </xf>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11</xdr:col>
      <xdr:colOff>0</xdr:colOff>
      <xdr:row>393</xdr:row>
      <xdr:rowOff>0</xdr:rowOff>
    </xdr:from>
    <xdr:ext cx="314325" cy="314325"/>
    <xdr:sp macro="" textlink="">
      <xdr:nvSpPr>
        <xdr:cNvPr id="3" name="Shape 3"/>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0</xdr:colOff>
      <xdr:row>391</xdr:row>
      <xdr:rowOff>0</xdr:rowOff>
    </xdr:from>
    <xdr:ext cx="304800" cy="304800"/>
    <xdr:sp macro="" textlink="">
      <xdr:nvSpPr>
        <xdr:cNvPr id="3" name="Shape 3"/>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theme/theme1.xml><?xml version="1.0" encoding="utf-8"?>
<a:theme xmlns:a="http://schemas.openxmlformats.org/drawingml/2006/main" name="Motiv systému Office">
  <a:themeElements>
    <a:clrScheme name="Kancelář">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celář">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flic.kr/s/aHskuhtQWe" TargetMode="External"/><Relationship Id="rId299" Type="http://schemas.openxmlformats.org/officeDocument/2006/relationships/hyperlink" Target="https://flic.kr/s/aHsmuoy8bi" TargetMode="External"/><Relationship Id="rId21" Type="http://schemas.openxmlformats.org/officeDocument/2006/relationships/hyperlink" Target="https://becherplatz.cz/" TargetMode="External"/><Relationship Id="rId63" Type="http://schemas.openxmlformats.org/officeDocument/2006/relationships/hyperlink" Target="https://flic.kr/s/aHsm817TgE" TargetMode="External"/><Relationship Id="rId159" Type="http://schemas.openxmlformats.org/officeDocument/2006/relationships/hyperlink" Target="https://flic.kr/s/aHsktGw3Ep" TargetMode="External"/><Relationship Id="rId324" Type="http://schemas.openxmlformats.org/officeDocument/2006/relationships/hyperlink" Target="https://goo.gl/bxzHNR" TargetMode="External"/><Relationship Id="rId366" Type="http://schemas.openxmlformats.org/officeDocument/2006/relationships/hyperlink" Target="https://goo.gl/kahzYz" TargetMode="External"/><Relationship Id="rId170" Type="http://schemas.openxmlformats.org/officeDocument/2006/relationships/hyperlink" Target="https://www.facebook.com/varic2015" TargetMode="External"/><Relationship Id="rId226" Type="http://schemas.openxmlformats.org/officeDocument/2006/relationships/hyperlink" Target="https://flic.kr/s/aHsmmWH9Jn" TargetMode="External"/><Relationship Id="rId433" Type="http://schemas.openxmlformats.org/officeDocument/2006/relationships/hyperlink" Target="https://www.facebook.com/Pivovar-Stud%C3%A1nky-a-Restaurace-Pivovar-Stud%C3%A1nky-499694920506159" TargetMode="External"/><Relationship Id="rId268" Type="http://schemas.openxmlformats.org/officeDocument/2006/relationships/hyperlink" Target="http://gastro-zoo.cz/" TargetMode="External"/><Relationship Id="rId32" Type="http://schemas.openxmlformats.org/officeDocument/2006/relationships/hyperlink" Target="http://www.relaxvpodhuri.cz/" TargetMode="External"/><Relationship Id="rId74" Type="http://schemas.openxmlformats.org/officeDocument/2006/relationships/hyperlink" Target="https://flic.kr/s/aHsmdfsyaF" TargetMode="External"/><Relationship Id="rId128" Type="http://schemas.openxmlformats.org/officeDocument/2006/relationships/hyperlink" Target="https://flic.kr/s/aHsmdYue3r" TargetMode="External"/><Relationship Id="rId335" Type="http://schemas.openxmlformats.org/officeDocument/2006/relationships/hyperlink" Target="https://goo.gl/zcx3Lj" TargetMode="External"/><Relationship Id="rId377" Type="http://schemas.openxmlformats.org/officeDocument/2006/relationships/hyperlink" Target="https://www.facebook.com/jazzclubhavirov" TargetMode="External"/><Relationship Id="rId5" Type="http://schemas.openxmlformats.org/officeDocument/2006/relationships/hyperlink" Target="https://flic.kr/s/aHskufKEcZ" TargetMode="External"/><Relationship Id="rId181" Type="http://schemas.openxmlformats.org/officeDocument/2006/relationships/hyperlink" Target="https://flic.kr/s/aHsmdYrJPg" TargetMode="External"/><Relationship Id="rId237" Type="http://schemas.openxmlformats.org/officeDocument/2006/relationships/hyperlink" Target="https://www.facebook.com/ctyrilipy" TargetMode="External"/><Relationship Id="rId402" Type="http://schemas.openxmlformats.org/officeDocument/2006/relationships/hyperlink" Target="https://goo.gl/rr7AhE" TargetMode="External"/><Relationship Id="rId279" Type="http://schemas.openxmlformats.org/officeDocument/2006/relationships/hyperlink" Target="http://www.hornackysenk.cz/" TargetMode="External"/><Relationship Id="rId444" Type="http://schemas.openxmlformats.org/officeDocument/2006/relationships/hyperlink" Target="https://www.hpp.beer/" TargetMode="External"/><Relationship Id="rId43" Type="http://schemas.openxmlformats.org/officeDocument/2006/relationships/hyperlink" Target="https://flic.kr/s/aHskugdwHM" TargetMode="External"/><Relationship Id="rId139" Type="http://schemas.openxmlformats.org/officeDocument/2006/relationships/hyperlink" Target="https://flic.kr/s/aHsme9DHP6" TargetMode="External"/><Relationship Id="rId290" Type="http://schemas.openxmlformats.org/officeDocument/2006/relationships/hyperlink" Target="https://flic.kr/s/aHsmu7xvXe" TargetMode="External"/><Relationship Id="rId304" Type="http://schemas.openxmlformats.org/officeDocument/2006/relationships/hyperlink" Target="https://www.facebook.com/Stracenapub2" TargetMode="External"/><Relationship Id="rId346" Type="http://schemas.openxmlformats.org/officeDocument/2006/relationships/hyperlink" Target="https://www.facebook.com/Bar-Egypt-139292589434166" TargetMode="External"/><Relationship Id="rId388" Type="http://schemas.openxmlformats.org/officeDocument/2006/relationships/hyperlink" Target="https://goo.gl/LG1z43" TargetMode="External"/><Relationship Id="rId85" Type="http://schemas.openxmlformats.org/officeDocument/2006/relationships/hyperlink" Target="https://flic.kr/s/aHsmwzRxTh" TargetMode="External"/><Relationship Id="rId150" Type="http://schemas.openxmlformats.org/officeDocument/2006/relationships/hyperlink" Target="https://flic.kr/s/aHsmdqZ5Yo" TargetMode="External"/><Relationship Id="rId192" Type="http://schemas.openxmlformats.org/officeDocument/2006/relationships/hyperlink" Target="http://pivovarvolt.cz/" TargetMode="External"/><Relationship Id="rId206" Type="http://schemas.openxmlformats.org/officeDocument/2006/relationships/hyperlink" Target="https://www.facebook.com/minipivovarcepice" TargetMode="External"/><Relationship Id="rId413" Type="http://schemas.openxmlformats.org/officeDocument/2006/relationships/hyperlink" Target="https://www.facebook.com/restaurantubaumannu" TargetMode="External"/><Relationship Id="rId248" Type="http://schemas.openxmlformats.org/officeDocument/2006/relationships/hyperlink" Target="http://saloonroudna.cz/" TargetMode="External"/><Relationship Id="rId455" Type="http://schemas.openxmlformats.org/officeDocument/2006/relationships/hyperlink" Target="https://goo.gl/C1KmBY" TargetMode="External"/><Relationship Id="rId12" Type="http://schemas.openxmlformats.org/officeDocument/2006/relationships/hyperlink" Target="http://pivovarmodrahvezda.cz/" TargetMode="External"/><Relationship Id="rId108" Type="http://schemas.openxmlformats.org/officeDocument/2006/relationships/hyperlink" Target="https://flic.kr/s/aHsmc3TaWd" TargetMode="External"/><Relationship Id="rId315" Type="http://schemas.openxmlformats.org/officeDocument/2006/relationships/hyperlink" Target="http://psikusy.pub/" TargetMode="External"/><Relationship Id="rId357" Type="http://schemas.openxmlformats.org/officeDocument/2006/relationships/hyperlink" Target="https://flic.kr/s/aHskN6hSk1" TargetMode="External"/><Relationship Id="rId54" Type="http://schemas.openxmlformats.org/officeDocument/2006/relationships/hyperlink" Target="https://flic.kr/s/aHsme9F67K" TargetMode="External"/><Relationship Id="rId96" Type="http://schemas.openxmlformats.org/officeDocument/2006/relationships/hyperlink" Target="http://pivoprotebe.cz/" TargetMode="External"/><Relationship Id="rId161" Type="http://schemas.openxmlformats.org/officeDocument/2006/relationships/hyperlink" Target="https://goo.gl/4JkUw3" TargetMode="External"/><Relationship Id="rId217" Type="http://schemas.openxmlformats.org/officeDocument/2006/relationships/hyperlink" Target="https://flic.kr/s/aHsktkBPBe" TargetMode="External"/><Relationship Id="rId399" Type="http://schemas.openxmlformats.org/officeDocument/2006/relationships/hyperlink" Target="https://www.facebook.com/zazijbrno" TargetMode="External"/><Relationship Id="rId259" Type="http://schemas.openxmlformats.org/officeDocument/2006/relationships/hyperlink" Target="https://www.facebook.com/konickuvdvur" TargetMode="External"/><Relationship Id="rId424" Type="http://schemas.openxmlformats.org/officeDocument/2006/relationships/hyperlink" Target="http://pivovarkrizek.cz/" TargetMode="External"/><Relationship Id="rId466" Type="http://schemas.openxmlformats.org/officeDocument/2006/relationships/hyperlink" Target="https://hotelslunce.jeseniky.com/" TargetMode="External"/><Relationship Id="rId23" Type="http://schemas.openxmlformats.org/officeDocument/2006/relationships/hyperlink" Target="http://www.knezihora.cz/" TargetMode="External"/><Relationship Id="rId119" Type="http://schemas.openxmlformats.org/officeDocument/2006/relationships/hyperlink" Target="https://flic.kr/s/aHsmev7QxA" TargetMode="External"/><Relationship Id="rId270" Type="http://schemas.openxmlformats.org/officeDocument/2006/relationships/hyperlink" Target="http://www.azyl-pivnibar.cz/" TargetMode="External"/><Relationship Id="rId326" Type="http://schemas.openxmlformats.org/officeDocument/2006/relationships/hyperlink" Target="https://www.facebook.com/Penzion-Prajzko-Klub-mal%C3%BDch-pivovar%C5%AF-Hronov-1845334025704052" TargetMode="External"/><Relationship Id="rId65" Type="http://schemas.openxmlformats.org/officeDocument/2006/relationships/hyperlink" Target="https://flic.kr/s/aHsmi7fung" TargetMode="External"/><Relationship Id="rId130" Type="http://schemas.openxmlformats.org/officeDocument/2006/relationships/hyperlink" Target="https://flic.kr/s/aHsmg8guj5" TargetMode="External"/><Relationship Id="rId368" Type="http://schemas.openxmlformats.org/officeDocument/2006/relationships/hyperlink" Target="https://goo.gl/tX2qNm" TargetMode="External"/><Relationship Id="rId172" Type="http://schemas.openxmlformats.org/officeDocument/2006/relationships/hyperlink" Target="https://flic.kr/s/aHsm78QCHU" TargetMode="External"/><Relationship Id="rId193" Type="http://schemas.openxmlformats.org/officeDocument/2006/relationships/hyperlink" Target="https://www.facebook.com/HermanickyPivovar" TargetMode="External"/><Relationship Id="rId207" Type="http://schemas.openxmlformats.org/officeDocument/2006/relationships/hyperlink" Target="https://flic.kr/s/aHskugot4n" TargetMode="External"/><Relationship Id="rId228" Type="http://schemas.openxmlformats.org/officeDocument/2006/relationships/hyperlink" Target="http://www.pivo-pivo.cz/nomad" TargetMode="External"/><Relationship Id="rId249" Type="http://schemas.openxmlformats.org/officeDocument/2006/relationships/hyperlink" Target="https://www.facebook.com/saloonroudna" TargetMode="External"/><Relationship Id="rId414" Type="http://schemas.openxmlformats.org/officeDocument/2006/relationships/hyperlink" Target="http://rojc.cz/" TargetMode="External"/><Relationship Id="rId435" Type="http://schemas.openxmlformats.org/officeDocument/2006/relationships/hyperlink" Target="https://www.beersandbikes.cz/" TargetMode="External"/><Relationship Id="rId456" Type="http://schemas.openxmlformats.org/officeDocument/2006/relationships/hyperlink" Target="http://www.andelskypivovar.cz/" TargetMode="External"/><Relationship Id="rId13" Type="http://schemas.openxmlformats.org/officeDocument/2006/relationships/hyperlink" Target="https://www.facebook.com/dudak.strakonice" TargetMode="External"/><Relationship Id="rId109" Type="http://schemas.openxmlformats.org/officeDocument/2006/relationships/hyperlink" Target="https://flic.kr/s/aHsmdf9voL" TargetMode="External"/><Relationship Id="rId260" Type="http://schemas.openxmlformats.org/officeDocument/2006/relationships/hyperlink" Target="https://www.facebook.com/pivovarbandita" TargetMode="External"/><Relationship Id="rId281" Type="http://schemas.openxmlformats.org/officeDocument/2006/relationships/hyperlink" Target="http://www.barchyse.cz/" TargetMode="External"/><Relationship Id="rId316" Type="http://schemas.openxmlformats.org/officeDocument/2006/relationships/hyperlink" Target="https://www.facebook.com/Psikusypub" TargetMode="External"/><Relationship Id="rId337" Type="http://schemas.openxmlformats.org/officeDocument/2006/relationships/hyperlink" Target="https://www.facebook.com/pivarium.pivoteka.ns" TargetMode="External"/><Relationship Id="rId34" Type="http://schemas.openxmlformats.org/officeDocument/2006/relationships/hyperlink" Target="https://flic.kr/s/aHsmdYs574" TargetMode="External"/><Relationship Id="rId55" Type="http://schemas.openxmlformats.org/officeDocument/2006/relationships/hyperlink" Target="https://flic.kr/s/aHsmdCzfQ5" TargetMode="External"/><Relationship Id="rId76" Type="http://schemas.openxmlformats.org/officeDocument/2006/relationships/hyperlink" Target="https://flic.kr/s/aHsmfuMyUw" TargetMode="External"/><Relationship Id="rId97" Type="http://schemas.openxmlformats.org/officeDocument/2006/relationships/hyperlink" Target="https://flic.kr/s/aHsmgDq9g4" TargetMode="External"/><Relationship Id="rId120" Type="http://schemas.openxmlformats.org/officeDocument/2006/relationships/hyperlink" Target="https://flic.kr/s/aHsmgDuhwe" TargetMode="External"/><Relationship Id="rId141" Type="http://schemas.openxmlformats.org/officeDocument/2006/relationships/hyperlink" Target="https://flic.kr/s/aHsmd9Eya2" TargetMode="External"/><Relationship Id="rId358" Type="http://schemas.openxmlformats.org/officeDocument/2006/relationships/hyperlink" Target="https://www.facebook.com/Bar-Jin%C3%A1-Sf%C3%A9ra-247078879392457" TargetMode="External"/><Relationship Id="rId379" Type="http://schemas.openxmlformats.org/officeDocument/2006/relationships/hyperlink" Target="https://www.facebook.com/turnovska.pivnice" TargetMode="External"/><Relationship Id="rId7" Type="http://schemas.openxmlformats.org/officeDocument/2006/relationships/hyperlink" Target="https://flic.kr/s/aHskui4PGn" TargetMode="External"/><Relationship Id="rId162" Type="http://schemas.openxmlformats.org/officeDocument/2006/relationships/hyperlink" Target="https://flic.kr/s/aHsmgwGC6c" TargetMode="External"/><Relationship Id="rId183" Type="http://schemas.openxmlformats.org/officeDocument/2006/relationships/hyperlink" Target="https://www.facebook.com/pivovar.transformator" TargetMode="External"/><Relationship Id="rId218" Type="http://schemas.openxmlformats.org/officeDocument/2006/relationships/hyperlink" Target="http://www.prdek.cz/" TargetMode="External"/><Relationship Id="rId239" Type="http://schemas.openxmlformats.org/officeDocument/2006/relationships/hyperlink" Target="http://www.pivovarreporyje.cz/" TargetMode="External"/><Relationship Id="rId390" Type="http://schemas.openxmlformats.org/officeDocument/2006/relationships/hyperlink" Target="https://www.facebook.com/pivogarp" TargetMode="External"/><Relationship Id="rId404" Type="http://schemas.openxmlformats.org/officeDocument/2006/relationships/hyperlink" Target="https://goo.gl/FRNLaU" TargetMode="External"/><Relationship Id="rId425" Type="http://schemas.openxmlformats.org/officeDocument/2006/relationships/hyperlink" Target="https://www.facebook.com/pivovarkrizek" TargetMode="External"/><Relationship Id="rId446" Type="http://schemas.openxmlformats.org/officeDocument/2006/relationships/hyperlink" Target="http://ustecka-pivoteka.cz/" TargetMode="External"/><Relationship Id="rId467" Type="http://schemas.openxmlformats.org/officeDocument/2006/relationships/hyperlink" Target="https://www.facebook.com/MinipivovarMorous" TargetMode="External"/><Relationship Id="rId250" Type="http://schemas.openxmlformats.org/officeDocument/2006/relationships/hyperlink" Target="http://pivovarspojovna.cz/" TargetMode="External"/><Relationship Id="rId271" Type="http://schemas.openxmlformats.org/officeDocument/2006/relationships/hyperlink" Target="http://babyloncafe.cz/" TargetMode="External"/><Relationship Id="rId292" Type="http://schemas.openxmlformats.org/officeDocument/2006/relationships/hyperlink" Target="https://flic.kr/s/aHsmh8SeJq" TargetMode="External"/><Relationship Id="rId306" Type="http://schemas.openxmlformats.org/officeDocument/2006/relationships/hyperlink" Target="https://www.facebook.com/ChataPrdek" TargetMode="External"/><Relationship Id="rId24" Type="http://schemas.openxmlformats.org/officeDocument/2006/relationships/hyperlink" Target="https://www.facebook.com/pivovarbzenec" TargetMode="External"/><Relationship Id="rId45" Type="http://schemas.openxmlformats.org/officeDocument/2006/relationships/hyperlink" Target="https://flic.kr/s/aHsmfg97FD" TargetMode="External"/><Relationship Id="rId66" Type="http://schemas.openxmlformats.org/officeDocument/2006/relationships/hyperlink" Target="https://flic.kr/s/aHsme1wfeP" TargetMode="External"/><Relationship Id="rId87" Type="http://schemas.openxmlformats.org/officeDocument/2006/relationships/hyperlink" Target="https://flic.kr/s/aHsmc27Aes" TargetMode="External"/><Relationship Id="rId110" Type="http://schemas.openxmlformats.org/officeDocument/2006/relationships/hyperlink" Target="https://flic.kr/s/aHskxpxfGQ" TargetMode="External"/><Relationship Id="rId131" Type="http://schemas.openxmlformats.org/officeDocument/2006/relationships/hyperlink" Target="https://flic.kr/s/aHskJBHxkt" TargetMode="External"/><Relationship Id="rId327" Type="http://schemas.openxmlformats.org/officeDocument/2006/relationships/hyperlink" Target="https://goo.gl/F9StcR" TargetMode="External"/><Relationship Id="rId348" Type="http://schemas.openxmlformats.org/officeDocument/2006/relationships/hyperlink" Target="https://www.campsrbsko.cz/" TargetMode="External"/><Relationship Id="rId369" Type="http://schemas.openxmlformats.org/officeDocument/2006/relationships/hyperlink" Target="http://jadrosovakrcma.cz/" TargetMode="External"/><Relationship Id="rId152" Type="http://schemas.openxmlformats.org/officeDocument/2006/relationships/hyperlink" Target="https://flic.kr/s/aHskxbamwh" TargetMode="External"/><Relationship Id="rId173" Type="http://schemas.openxmlformats.org/officeDocument/2006/relationships/hyperlink" Target="https://www.facebook.com/GalantPivovar" TargetMode="External"/><Relationship Id="rId194" Type="http://schemas.openxmlformats.org/officeDocument/2006/relationships/hyperlink" Target="https://flic.kr/s/aHskwArBpW" TargetMode="External"/><Relationship Id="rId208" Type="http://schemas.openxmlformats.org/officeDocument/2006/relationships/hyperlink" Target="https://flic.kr/s/aHskwAspVw" TargetMode="External"/><Relationship Id="rId229" Type="http://schemas.openxmlformats.org/officeDocument/2006/relationships/hyperlink" Target="https://flic.kr/s/aHsm75xQNh" TargetMode="External"/><Relationship Id="rId380" Type="http://schemas.openxmlformats.org/officeDocument/2006/relationships/hyperlink" Target="https://goo.gl/LG1z43" TargetMode="External"/><Relationship Id="rId415" Type="http://schemas.openxmlformats.org/officeDocument/2006/relationships/hyperlink" Target="https://www.facebook.com/Rojc-1093834074102010" TargetMode="External"/><Relationship Id="rId436" Type="http://schemas.openxmlformats.org/officeDocument/2006/relationships/hyperlink" Target="https://www.facebook.com/pivoteka.beersnmore" TargetMode="External"/><Relationship Id="rId457" Type="http://schemas.openxmlformats.org/officeDocument/2006/relationships/hyperlink" Target="https://www.facebook.com/andelskypivovar" TargetMode="External"/><Relationship Id="rId240" Type="http://schemas.openxmlformats.org/officeDocument/2006/relationships/hyperlink" Target="https://www.facebook.com/pivovarreporyje" TargetMode="External"/><Relationship Id="rId261" Type="http://schemas.openxmlformats.org/officeDocument/2006/relationships/hyperlink" Target="https://www.campsrbsko.cz/" TargetMode="External"/><Relationship Id="rId14" Type="http://schemas.openxmlformats.org/officeDocument/2006/relationships/hyperlink" Target="https://flic.kr/s/aHsmeCsPuG" TargetMode="External"/><Relationship Id="rId35" Type="http://schemas.openxmlformats.org/officeDocument/2006/relationships/hyperlink" Target="https://www.facebook.com/krkonosskymedved" TargetMode="External"/><Relationship Id="rId56" Type="http://schemas.openxmlformats.org/officeDocument/2006/relationships/hyperlink" Target="https://flic.kr/s/aHsmgFskDi" TargetMode="External"/><Relationship Id="rId77" Type="http://schemas.openxmlformats.org/officeDocument/2006/relationships/hyperlink" Target="https://www.facebook.com/klasternipivovarzeliv" TargetMode="External"/><Relationship Id="rId100" Type="http://schemas.openxmlformats.org/officeDocument/2006/relationships/hyperlink" Target="https://flic.kr/s/aHskwAz5Vy" TargetMode="External"/><Relationship Id="rId282" Type="http://schemas.openxmlformats.org/officeDocument/2006/relationships/hyperlink" Target="http://www.jrclub.cz/" TargetMode="External"/><Relationship Id="rId317" Type="http://schemas.openxmlformats.org/officeDocument/2006/relationships/hyperlink" Target="http://restauracehasicarna.cz/" TargetMode="External"/><Relationship Id="rId338" Type="http://schemas.openxmlformats.org/officeDocument/2006/relationships/hyperlink" Target="https://goo.gl/H6SStp" TargetMode="External"/><Relationship Id="rId359" Type="http://schemas.openxmlformats.org/officeDocument/2006/relationships/hyperlink" Target="https://goo.gl/vf8QAs" TargetMode="External"/><Relationship Id="rId8" Type="http://schemas.openxmlformats.org/officeDocument/2006/relationships/hyperlink" Target="https://flic.kr/s/aHsmb9Hj6G" TargetMode="External"/><Relationship Id="rId98" Type="http://schemas.openxmlformats.org/officeDocument/2006/relationships/hyperlink" Target="https://flic.kr/s/aHsmb9zn91" TargetMode="External"/><Relationship Id="rId121" Type="http://schemas.openxmlformats.org/officeDocument/2006/relationships/hyperlink" Target="https://flic.kr/s/aHsmjtyEyy" TargetMode="External"/><Relationship Id="rId142" Type="http://schemas.openxmlformats.org/officeDocument/2006/relationships/hyperlink" Target="https://flic.kr/s/aHsmfNrC4v" TargetMode="External"/><Relationship Id="rId163" Type="http://schemas.openxmlformats.org/officeDocument/2006/relationships/hyperlink" Target="https://flic.kr/s/aHsmhBQxG8" TargetMode="External"/><Relationship Id="rId184" Type="http://schemas.openxmlformats.org/officeDocument/2006/relationships/hyperlink" Target="https://flic.kr/s/aHsmeQLtKd" TargetMode="External"/><Relationship Id="rId219" Type="http://schemas.openxmlformats.org/officeDocument/2006/relationships/hyperlink" Target="https://www.facebook.com/ChataPrdek" TargetMode="External"/><Relationship Id="rId370" Type="http://schemas.openxmlformats.org/officeDocument/2006/relationships/hyperlink" Target="https://www.facebook.com/jadrosovakrcma.cz" TargetMode="External"/><Relationship Id="rId391" Type="http://schemas.openxmlformats.org/officeDocument/2006/relationships/hyperlink" Target="https://goo.gl/k1j4oa" TargetMode="External"/><Relationship Id="rId405" Type="http://schemas.openxmlformats.org/officeDocument/2006/relationships/hyperlink" Target="https://flic.kr/s/aHsmu8N6vH" TargetMode="External"/><Relationship Id="rId426" Type="http://schemas.openxmlformats.org/officeDocument/2006/relationships/hyperlink" Target="https://goo.gl/AjDeyv" TargetMode="External"/><Relationship Id="rId447" Type="http://schemas.openxmlformats.org/officeDocument/2006/relationships/hyperlink" Target="https://www.facebook.com/usteckapivoteka" TargetMode="External"/><Relationship Id="rId230" Type="http://schemas.openxmlformats.org/officeDocument/2006/relationships/hyperlink" Target="http://www.elmontex.cz/" TargetMode="External"/><Relationship Id="rId251" Type="http://schemas.openxmlformats.org/officeDocument/2006/relationships/hyperlink" Target="https://www.facebook.com/pivovarspojovna" TargetMode="External"/><Relationship Id="rId468" Type="http://schemas.openxmlformats.org/officeDocument/2006/relationships/hyperlink" Target="https://goo.gl/VojhbZ" TargetMode="External"/><Relationship Id="rId25" Type="http://schemas.openxmlformats.org/officeDocument/2006/relationships/hyperlink" Target="http://www.knezinek.cz/" TargetMode="External"/><Relationship Id="rId46" Type="http://schemas.openxmlformats.org/officeDocument/2006/relationships/hyperlink" Target="https://flic.kr/s/aHsmd4NrxP" TargetMode="External"/><Relationship Id="rId67" Type="http://schemas.openxmlformats.org/officeDocument/2006/relationships/hyperlink" Target="https://flic.kr/s/aHskug5bYx" TargetMode="External"/><Relationship Id="rId272" Type="http://schemas.openxmlformats.org/officeDocument/2006/relationships/hyperlink" Target="http://www.batalionudraku.cz/" TargetMode="External"/><Relationship Id="rId293" Type="http://schemas.openxmlformats.org/officeDocument/2006/relationships/hyperlink" Target="http://www.pivnisenk.cz/" TargetMode="External"/><Relationship Id="rId307" Type="http://schemas.openxmlformats.org/officeDocument/2006/relationships/hyperlink" Target="http://pivovarmodrahvezda.cz/pivni-klub-modra-hvezda" TargetMode="External"/><Relationship Id="rId328" Type="http://schemas.openxmlformats.org/officeDocument/2006/relationships/hyperlink" Target="http://www.konickuv-dvur.cz/" TargetMode="External"/><Relationship Id="rId349" Type="http://schemas.openxmlformats.org/officeDocument/2006/relationships/hyperlink" Target="http://praha.ossegg.com/" TargetMode="External"/><Relationship Id="rId88" Type="http://schemas.openxmlformats.org/officeDocument/2006/relationships/hyperlink" Target="https://flic.kr/s/aHsmgDrcCn" TargetMode="External"/><Relationship Id="rId111" Type="http://schemas.openxmlformats.org/officeDocument/2006/relationships/hyperlink" Target="https://flic.kr/s/aHsmfNwMBP" TargetMode="External"/><Relationship Id="rId132" Type="http://schemas.openxmlformats.org/officeDocument/2006/relationships/hyperlink" Target="https://flic.kr/s/aHskzoqajP" TargetMode="External"/><Relationship Id="rId153" Type="http://schemas.openxmlformats.org/officeDocument/2006/relationships/hyperlink" Target="https://flic.kr/s/aHsmb9AD1u" TargetMode="External"/><Relationship Id="rId174" Type="http://schemas.openxmlformats.org/officeDocument/2006/relationships/hyperlink" Target="https://flic.kr/s/aHsmfHmFut" TargetMode="External"/><Relationship Id="rId195" Type="http://schemas.openxmlformats.org/officeDocument/2006/relationships/hyperlink" Target="https://flic.kr/s/aHsmfNr5Xn" TargetMode="External"/><Relationship Id="rId209" Type="http://schemas.openxmlformats.org/officeDocument/2006/relationships/hyperlink" Target="http://www.pivovarchmelnice.cz/" TargetMode="External"/><Relationship Id="rId360" Type="http://schemas.openxmlformats.org/officeDocument/2006/relationships/hyperlink" Target="https://www.facebook.com/kamenickepivo" TargetMode="External"/><Relationship Id="rId381" Type="http://schemas.openxmlformats.org/officeDocument/2006/relationships/hyperlink" Target="http://www.pivotechna.cz/" TargetMode="External"/><Relationship Id="rId416" Type="http://schemas.openxmlformats.org/officeDocument/2006/relationships/hyperlink" Target="https://goo.gl/SJWEoe" TargetMode="External"/><Relationship Id="rId220" Type="http://schemas.openxmlformats.org/officeDocument/2006/relationships/hyperlink" Target="https://goo.gl/Du1rRG" TargetMode="External"/><Relationship Id="rId241" Type="http://schemas.openxmlformats.org/officeDocument/2006/relationships/hyperlink" Target="http://www.cobolis.cz/" TargetMode="External"/><Relationship Id="rId437" Type="http://schemas.openxmlformats.org/officeDocument/2006/relationships/hyperlink" Target="https://goo.gl/UrPiQU" TargetMode="External"/><Relationship Id="rId458" Type="http://schemas.openxmlformats.org/officeDocument/2006/relationships/hyperlink" Target="https://goo.gl/EKjPfF" TargetMode="External"/><Relationship Id="rId15" Type="http://schemas.openxmlformats.org/officeDocument/2006/relationships/hyperlink" Target="https://flic.kr/s/aHsku9hoC2" TargetMode="External"/><Relationship Id="rId36" Type="http://schemas.openxmlformats.org/officeDocument/2006/relationships/hyperlink" Target="http://www.minipivovarkrmelin.cz/" TargetMode="External"/><Relationship Id="rId57" Type="http://schemas.openxmlformats.org/officeDocument/2006/relationships/hyperlink" Target="https://flic.kr/s/aHsmc3WS6A" TargetMode="External"/><Relationship Id="rId262" Type="http://schemas.openxmlformats.org/officeDocument/2006/relationships/hyperlink" Target="https://www.facebook.com/Srbeck%C3%BD-LOK-724742021215786" TargetMode="External"/><Relationship Id="rId283" Type="http://schemas.openxmlformats.org/officeDocument/2006/relationships/hyperlink" Target="http://www.lesmoules.cz/" TargetMode="External"/><Relationship Id="rId318" Type="http://schemas.openxmlformats.org/officeDocument/2006/relationships/hyperlink" Target="https://www.facebook.com/Restaurace-Hasi%C4%8D%C3%A1rna-Firehouse-PUB-185032112081303" TargetMode="External"/><Relationship Id="rId339" Type="http://schemas.openxmlformats.org/officeDocument/2006/relationships/hyperlink" Target="https://www.facebook.com/pohostinstviukavaliru" TargetMode="External"/><Relationship Id="rId78" Type="http://schemas.openxmlformats.org/officeDocument/2006/relationships/hyperlink" Target="https://flic.kr/s/aHsmhA4YNg" TargetMode="External"/><Relationship Id="rId99" Type="http://schemas.openxmlformats.org/officeDocument/2006/relationships/hyperlink" Target="https://flic.kr/s/aHsmdhx74G" TargetMode="External"/><Relationship Id="rId101" Type="http://schemas.openxmlformats.org/officeDocument/2006/relationships/hyperlink" Target="https://flic.kr/s/aHsmfU4ofX" TargetMode="External"/><Relationship Id="rId122" Type="http://schemas.openxmlformats.org/officeDocument/2006/relationships/hyperlink" Target="https://www.facebook.com/minipivovardratenik" TargetMode="External"/><Relationship Id="rId143" Type="http://schemas.openxmlformats.org/officeDocument/2006/relationships/hyperlink" Target="https://flic.kr/s/aHsmb44QGC" TargetMode="External"/><Relationship Id="rId164" Type="http://schemas.openxmlformats.org/officeDocument/2006/relationships/hyperlink" Target="https://flic.kr/s/aHsktp7nXT" TargetMode="External"/><Relationship Id="rId185" Type="http://schemas.openxmlformats.org/officeDocument/2006/relationships/hyperlink" Target="https://flic.kr/s/aHskEHBwBU" TargetMode="External"/><Relationship Id="rId350" Type="http://schemas.openxmlformats.org/officeDocument/2006/relationships/hyperlink" Target="https://www.facebook.com/ossegg.praha" TargetMode="External"/><Relationship Id="rId371" Type="http://schemas.openxmlformats.org/officeDocument/2006/relationships/hyperlink" Target="https://www.facebook.com/pivovarsirokydul" TargetMode="External"/><Relationship Id="rId406" Type="http://schemas.openxmlformats.org/officeDocument/2006/relationships/hyperlink" Target="http://zlatakrava.cz/" TargetMode="External"/><Relationship Id="rId9" Type="http://schemas.openxmlformats.org/officeDocument/2006/relationships/hyperlink" Target="https://www.facebook.com/BudejovickyBudvar" TargetMode="External"/><Relationship Id="rId210" Type="http://schemas.openxmlformats.org/officeDocument/2006/relationships/hyperlink" Target="https://flic.kr/s/aHsmc7yutA" TargetMode="External"/><Relationship Id="rId392" Type="http://schemas.openxmlformats.org/officeDocument/2006/relationships/hyperlink" Target="https://www.rudohor.cz/" TargetMode="External"/><Relationship Id="rId427" Type="http://schemas.openxmlformats.org/officeDocument/2006/relationships/hyperlink" Target="https://www.facebook.com/brezackysup" TargetMode="External"/><Relationship Id="rId448" Type="http://schemas.openxmlformats.org/officeDocument/2006/relationships/hyperlink" Target="https://goo.gl/5Ffy6Z" TargetMode="External"/><Relationship Id="rId469" Type="http://schemas.openxmlformats.org/officeDocument/2006/relationships/hyperlink" Target="http://www.pivovarolesna.cz/" TargetMode="External"/><Relationship Id="rId26" Type="http://schemas.openxmlformats.org/officeDocument/2006/relationships/hyperlink" Target="https://www.facebook.com/U-Dvou-ko%C4%8Dek-1042365925814357" TargetMode="External"/><Relationship Id="rId231" Type="http://schemas.openxmlformats.org/officeDocument/2006/relationships/hyperlink" Target="https://www.facebook.com/RestauraceAero" TargetMode="External"/><Relationship Id="rId252" Type="http://schemas.openxmlformats.org/officeDocument/2006/relationships/hyperlink" Target="https://flic.kr/s/aHsmmnvaU9" TargetMode="External"/><Relationship Id="rId273" Type="http://schemas.openxmlformats.org/officeDocument/2006/relationships/hyperlink" Target="http://www.bruxx.cz/" TargetMode="External"/><Relationship Id="rId294" Type="http://schemas.openxmlformats.org/officeDocument/2006/relationships/hyperlink" Target="http://www.ukozy.eu/" TargetMode="External"/><Relationship Id="rId308" Type="http://schemas.openxmlformats.org/officeDocument/2006/relationships/hyperlink" Target="https://www.facebook.com/pivniklubmodrahvezda" TargetMode="External"/><Relationship Id="rId329" Type="http://schemas.openxmlformats.org/officeDocument/2006/relationships/hyperlink" Target="https://www.facebook.com/konickuvdvur" TargetMode="External"/><Relationship Id="rId47" Type="http://schemas.openxmlformats.org/officeDocument/2006/relationships/hyperlink" Target="https://flic.kr/s/aHskyRXLLq" TargetMode="External"/><Relationship Id="rId68" Type="http://schemas.openxmlformats.org/officeDocument/2006/relationships/hyperlink" Target="https://flic.kr/s/aHsmgXQ7jw" TargetMode="External"/><Relationship Id="rId89" Type="http://schemas.openxmlformats.org/officeDocument/2006/relationships/hyperlink" Target="https://flic.kr/s/aHsmnftNS6" TargetMode="External"/><Relationship Id="rId112" Type="http://schemas.openxmlformats.org/officeDocument/2006/relationships/hyperlink" Target="https://www.facebook.com/Chebsky-pivovar-702598899823908" TargetMode="External"/><Relationship Id="rId133" Type="http://schemas.openxmlformats.org/officeDocument/2006/relationships/hyperlink" Target="https://flic.kr/s/aHsmgttU4s" TargetMode="External"/><Relationship Id="rId154" Type="http://schemas.openxmlformats.org/officeDocument/2006/relationships/hyperlink" Target="https://flic.kr/s/aHsmdLL1cB" TargetMode="External"/><Relationship Id="rId175" Type="http://schemas.openxmlformats.org/officeDocument/2006/relationships/hyperlink" Target="https://flic.kr/s/aHskwMknb1" TargetMode="External"/><Relationship Id="rId340" Type="http://schemas.openxmlformats.org/officeDocument/2006/relationships/hyperlink" Target="https://goo.gl/6zCtwU" TargetMode="External"/><Relationship Id="rId361" Type="http://schemas.openxmlformats.org/officeDocument/2006/relationships/hyperlink" Target="https://goo.gl/m8V4kR" TargetMode="External"/><Relationship Id="rId196" Type="http://schemas.openxmlformats.org/officeDocument/2006/relationships/hyperlink" Target="http://www.pivovar-trojan.cz/" TargetMode="External"/><Relationship Id="rId200" Type="http://schemas.openxmlformats.org/officeDocument/2006/relationships/hyperlink" Target="https://flic.kr/s/aHskws9usG" TargetMode="External"/><Relationship Id="rId382" Type="http://schemas.openxmlformats.org/officeDocument/2006/relationships/hyperlink" Target="https://www.facebook.com/Pivotechna" TargetMode="External"/><Relationship Id="rId417" Type="http://schemas.openxmlformats.org/officeDocument/2006/relationships/hyperlink" Target="https://goo.gl/VBaiQT" TargetMode="External"/><Relationship Id="rId438" Type="http://schemas.openxmlformats.org/officeDocument/2006/relationships/hyperlink" Target="https://www.facebook.com/beertime.cz" TargetMode="External"/><Relationship Id="rId459" Type="http://schemas.openxmlformats.org/officeDocument/2006/relationships/hyperlink" Target="https://www.facebook.com/KbelskyPivovar" TargetMode="External"/><Relationship Id="rId16" Type="http://schemas.openxmlformats.org/officeDocument/2006/relationships/hyperlink" Target="https://www.facebook.com/Pivovar-Chot%C4%9Bbo%C5%99-1627652154140904/" TargetMode="External"/><Relationship Id="rId221" Type="http://schemas.openxmlformats.org/officeDocument/2006/relationships/hyperlink" Target="https://flic.kr/s/aHskybCcZq" TargetMode="External"/><Relationship Id="rId242" Type="http://schemas.openxmlformats.org/officeDocument/2006/relationships/hyperlink" Target="https://www.facebook.com/pivovarcobolis" TargetMode="External"/><Relationship Id="rId263" Type="http://schemas.openxmlformats.org/officeDocument/2006/relationships/hyperlink" Target="http://www.pivovarnovabystrice.cz/" TargetMode="External"/><Relationship Id="rId284" Type="http://schemas.openxmlformats.org/officeDocument/2006/relationships/hyperlink" Target="https://flic.kr/s/aHsm9usi1E" TargetMode="External"/><Relationship Id="rId319" Type="http://schemas.openxmlformats.org/officeDocument/2006/relationships/hyperlink" Target="https://www.facebook.com/minipivovaroskar" TargetMode="External"/><Relationship Id="rId470" Type="http://schemas.openxmlformats.org/officeDocument/2006/relationships/hyperlink" Target="https://www.facebook.com/Pivovar-Ole%C5%A1n%C3%A1-1032277996912007" TargetMode="External"/><Relationship Id="rId37" Type="http://schemas.openxmlformats.org/officeDocument/2006/relationships/hyperlink" Target="https://flic.kr/s/aHsmfw3RqG" TargetMode="External"/><Relationship Id="rId58" Type="http://schemas.openxmlformats.org/officeDocument/2006/relationships/hyperlink" Target="http://www.pivovardobruska.cz/" TargetMode="External"/><Relationship Id="rId79" Type="http://schemas.openxmlformats.org/officeDocument/2006/relationships/hyperlink" Target="https://flic.kr/s/aHsmeCPhfA" TargetMode="External"/><Relationship Id="rId102" Type="http://schemas.openxmlformats.org/officeDocument/2006/relationships/hyperlink" Target="https://flic.kr/s/aHskxnFzZ3" TargetMode="External"/><Relationship Id="rId123" Type="http://schemas.openxmlformats.org/officeDocument/2006/relationships/hyperlink" Target="https://flic.kr/s/aHskDXybzP" TargetMode="External"/><Relationship Id="rId144" Type="http://schemas.openxmlformats.org/officeDocument/2006/relationships/hyperlink" Target="https://flic.kr/s/aHsmeCG4rJ" TargetMode="External"/><Relationship Id="rId330" Type="http://schemas.openxmlformats.org/officeDocument/2006/relationships/hyperlink" Target="https://goo.gl/cp5v7f" TargetMode="External"/><Relationship Id="rId90" Type="http://schemas.openxmlformats.org/officeDocument/2006/relationships/hyperlink" Target="https://www.facebook.com/restauracenovasladovna" TargetMode="External"/><Relationship Id="rId165" Type="http://schemas.openxmlformats.org/officeDocument/2006/relationships/hyperlink" Target="https://flic.kr/s/aHsmgDktDc" TargetMode="External"/><Relationship Id="rId186" Type="http://schemas.openxmlformats.org/officeDocument/2006/relationships/hyperlink" Target="https://flic.kr/s/aHsm7ZV951" TargetMode="External"/><Relationship Id="rId351" Type="http://schemas.openxmlformats.org/officeDocument/2006/relationships/hyperlink" Target="https://goo.gl/NT4Bc8" TargetMode="External"/><Relationship Id="rId372" Type="http://schemas.openxmlformats.org/officeDocument/2006/relationships/hyperlink" Target="https://goo.gl/Du3VUL" TargetMode="External"/><Relationship Id="rId393" Type="http://schemas.openxmlformats.org/officeDocument/2006/relationships/hyperlink" Target="https://www.facebook.com/pivovarrudohor" TargetMode="External"/><Relationship Id="rId407" Type="http://schemas.openxmlformats.org/officeDocument/2006/relationships/hyperlink" Target="https://www.facebook.com/zlatakravapivovar" TargetMode="External"/><Relationship Id="rId428" Type="http://schemas.openxmlformats.org/officeDocument/2006/relationships/hyperlink" Target="https://goo.gl/hgtfHG" TargetMode="External"/><Relationship Id="rId449" Type="http://schemas.openxmlformats.org/officeDocument/2006/relationships/hyperlink" Target="http://www.penzionaxiom.cz/pivovar-bajer" TargetMode="External"/><Relationship Id="rId211" Type="http://schemas.openxmlformats.org/officeDocument/2006/relationships/hyperlink" Target="http://www.z-stage.cz/" TargetMode="External"/><Relationship Id="rId232" Type="http://schemas.openxmlformats.org/officeDocument/2006/relationships/hyperlink" Target="https://flic.kr/s/aHsmcFej3s" TargetMode="External"/><Relationship Id="rId253" Type="http://schemas.openxmlformats.org/officeDocument/2006/relationships/hyperlink" Target="https://www.facebook.com/pivovarfeldsberg" TargetMode="External"/><Relationship Id="rId274" Type="http://schemas.openxmlformats.org/officeDocument/2006/relationships/hyperlink" Target="http://www.dacicky.com/" TargetMode="External"/><Relationship Id="rId295" Type="http://schemas.openxmlformats.org/officeDocument/2006/relationships/hyperlink" Target="https://www.facebook.com/vycepnastojakaanglicka" TargetMode="External"/><Relationship Id="rId309" Type="http://schemas.openxmlformats.org/officeDocument/2006/relationships/hyperlink" Target="https://www.brevnov.cz/cs/klasterni-sypka" TargetMode="External"/><Relationship Id="rId460" Type="http://schemas.openxmlformats.org/officeDocument/2006/relationships/hyperlink" Target="https://goo.gl/zR1Tk8" TargetMode="External"/><Relationship Id="rId27" Type="http://schemas.openxmlformats.org/officeDocument/2006/relationships/hyperlink" Target="http://restaurace-kohutka.cz/" TargetMode="External"/><Relationship Id="rId48" Type="http://schemas.openxmlformats.org/officeDocument/2006/relationships/hyperlink" Target="https://flic.kr/s/aHsmfMW1xt" TargetMode="External"/><Relationship Id="rId69" Type="http://schemas.openxmlformats.org/officeDocument/2006/relationships/hyperlink" Target="https://flic.kr/s/aHskCrkVEa" TargetMode="External"/><Relationship Id="rId113" Type="http://schemas.openxmlformats.org/officeDocument/2006/relationships/hyperlink" Target="https://flic.kr/s/aHskFNjkH4" TargetMode="External"/><Relationship Id="rId134" Type="http://schemas.openxmlformats.org/officeDocument/2006/relationships/hyperlink" Target="https://flic.kr/s/aHsm8S1k7w" TargetMode="External"/><Relationship Id="rId320" Type="http://schemas.openxmlformats.org/officeDocument/2006/relationships/hyperlink" Target="https://flic.kr/s/aHsmcpuxvy" TargetMode="External"/><Relationship Id="rId80" Type="http://schemas.openxmlformats.org/officeDocument/2006/relationships/hyperlink" Target="https://flic.kr/s/aHsmgQ2j1p" TargetMode="External"/><Relationship Id="rId155" Type="http://schemas.openxmlformats.org/officeDocument/2006/relationships/hyperlink" Target="https://flic.kr/s/aHsmfwZhns" TargetMode="External"/><Relationship Id="rId176" Type="http://schemas.openxmlformats.org/officeDocument/2006/relationships/hyperlink" Target="https://flic.kr/s/aHsm82YZr9" TargetMode="External"/><Relationship Id="rId197" Type="http://schemas.openxmlformats.org/officeDocument/2006/relationships/hyperlink" Target="http://velkorakovskepivo.cz/" TargetMode="External"/><Relationship Id="rId341" Type="http://schemas.openxmlformats.org/officeDocument/2006/relationships/hyperlink" Target="https://www.facebook.com/ouabeer" TargetMode="External"/><Relationship Id="rId362" Type="http://schemas.openxmlformats.org/officeDocument/2006/relationships/hyperlink" Target="http://www.pivovarhulvat.cz/" TargetMode="External"/><Relationship Id="rId383" Type="http://schemas.openxmlformats.org/officeDocument/2006/relationships/hyperlink" Target="https://goo.gl/VQm1gB" TargetMode="External"/><Relationship Id="rId418" Type="http://schemas.openxmlformats.org/officeDocument/2006/relationships/hyperlink" Target="http://www.pivokarlin.cz/" TargetMode="External"/><Relationship Id="rId439" Type="http://schemas.openxmlformats.org/officeDocument/2006/relationships/hyperlink" Target="https://goo.gl/wuZfkU" TargetMode="External"/><Relationship Id="rId201" Type="http://schemas.openxmlformats.org/officeDocument/2006/relationships/hyperlink" Target="https://flic.kr/s/aHskwAuyt9" TargetMode="External"/><Relationship Id="rId222" Type="http://schemas.openxmlformats.org/officeDocument/2006/relationships/hyperlink" Target="https://www.facebook.com/torpivovar" TargetMode="External"/><Relationship Id="rId243" Type="http://schemas.openxmlformats.org/officeDocument/2006/relationships/hyperlink" Target="https://flic.kr/s/aHskLXxw2m" TargetMode="External"/><Relationship Id="rId264" Type="http://schemas.openxmlformats.org/officeDocument/2006/relationships/hyperlink" Target="https://www.facebook.com/pivovarnovabystrice" TargetMode="External"/><Relationship Id="rId285" Type="http://schemas.openxmlformats.org/officeDocument/2006/relationships/hyperlink" Target="https://flic.kr/s/aHsmwoQKjT" TargetMode="External"/><Relationship Id="rId450" Type="http://schemas.openxmlformats.org/officeDocument/2006/relationships/hyperlink" Target="https://www.facebook.com/penzionaxiom.cz" TargetMode="External"/><Relationship Id="rId471" Type="http://schemas.openxmlformats.org/officeDocument/2006/relationships/hyperlink" Target="https://goo.gl/7akNEY" TargetMode="External"/><Relationship Id="rId17" Type="http://schemas.openxmlformats.org/officeDocument/2006/relationships/hyperlink" Target="https://www.facebook.com/pivovarskydvur.cz" TargetMode="External"/><Relationship Id="rId38" Type="http://schemas.openxmlformats.org/officeDocument/2006/relationships/hyperlink" Target="https://flic.kr/s/aHskxbcups" TargetMode="External"/><Relationship Id="rId59" Type="http://schemas.openxmlformats.org/officeDocument/2006/relationships/hyperlink" Target="https://flic.kr/s/aHskug9tVa" TargetMode="External"/><Relationship Id="rId103" Type="http://schemas.openxmlformats.org/officeDocument/2006/relationships/hyperlink" Target="https://flic.kr/s/aHsmfNt7uB" TargetMode="External"/><Relationship Id="rId124" Type="http://schemas.openxmlformats.org/officeDocument/2006/relationships/hyperlink" Target="https://flic.kr/s/aHsmb9CEVs" TargetMode="External"/><Relationship Id="rId310" Type="http://schemas.openxmlformats.org/officeDocument/2006/relationships/hyperlink" Target="https://www.facebook.com/Brevnovskypivovar" TargetMode="External"/><Relationship Id="rId70" Type="http://schemas.openxmlformats.org/officeDocument/2006/relationships/hyperlink" Target="https://www.facebook.com/DvurVserad" TargetMode="External"/><Relationship Id="rId91" Type="http://schemas.openxmlformats.org/officeDocument/2006/relationships/hyperlink" Target="https://flic.kr/s/aHsmda8ZZp" TargetMode="External"/><Relationship Id="rId145" Type="http://schemas.openxmlformats.org/officeDocument/2006/relationships/hyperlink" Target="https://flic.kr/s/aHsmfx1g6h" TargetMode="External"/><Relationship Id="rId166" Type="http://schemas.openxmlformats.org/officeDocument/2006/relationships/hyperlink" Target="https://www.facebook.com/Berko-1627199740859035" TargetMode="External"/><Relationship Id="rId187" Type="http://schemas.openxmlformats.org/officeDocument/2006/relationships/hyperlink" Target="https://flic.kr/s/aHskuFTfMM" TargetMode="External"/><Relationship Id="rId331" Type="http://schemas.openxmlformats.org/officeDocument/2006/relationships/hyperlink" Target="https://www.facebook.com/Domino-Bar-286834001441459" TargetMode="External"/><Relationship Id="rId352" Type="http://schemas.openxmlformats.org/officeDocument/2006/relationships/hyperlink" Target="http://www.restaurace-beseda.cz/" TargetMode="External"/><Relationship Id="rId373" Type="http://schemas.openxmlformats.org/officeDocument/2006/relationships/hyperlink" Target="https://www.facebook.com/Hostinec-u-Ryp%C3%A1ka-1850494435007648" TargetMode="External"/><Relationship Id="rId394" Type="http://schemas.openxmlformats.org/officeDocument/2006/relationships/hyperlink" Target="https://goo.gl/1wf2wL" TargetMode="External"/><Relationship Id="rId408" Type="http://schemas.openxmlformats.org/officeDocument/2006/relationships/hyperlink" Target="https://goo.gl/FpzqyK" TargetMode="External"/><Relationship Id="rId429" Type="http://schemas.openxmlformats.org/officeDocument/2006/relationships/hyperlink" Target="https://www.beers.town/" TargetMode="External"/><Relationship Id="rId1" Type="http://schemas.openxmlformats.org/officeDocument/2006/relationships/hyperlink" Target="https://flic.kr/s/aHsmih7Qki" TargetMode="External"/><Relationship Id="rId212" Type="http://schemas.openxmlformats.org/officeDocument/2006/relationships/hyperlink" Target="https://flic.kr/s/aHsmrrFyk5" TargetMode="External"/><Relationship Id="rId233" Type="http://schemas.openxmlformats.org/officeDocument/2006/relationships/hyperlink" Target="http://www.kousekpiva.cz/" TargetMode="External"/><Relationship Id="rId254" Type="http://schemas.openxmlformats.org/officeDocument/2006/relationships/hyperlink" Target="https://goo.gl/oGxy8W" TargetMode="External"/><Relationship Id="rId440" Type="http://schemas.openxmlformats.org/officeDocument/2006/relationships/hyperlink" Target="http://www.beertime.pub/" TargetMode="External"/><Relationship Id="rId28" Type="http://schemas.openxmlformats.org/officeDocument/2006/relationships/hyperlink" Target="https://www.facebook.com/restaurace.kohutka" TargetMode="External"/><Relationship Id="rId49" Type="http://schemas.openxmlformats.org/officeDocument/2006/relationships/hyperlink" Target="https://goo.gl/RnSUX1" TargetMode="External"/><Relationship Id="rId114" Type="http://schemas.openxmlformats.org/officeDocument/2006/relationships/hyperlink" Target="https://www.facebook.com/Starobelskypivovar" TargetMode="External"/><Relationship Id="rId275" Type="http://schemas.openxmlformats.org/officeDocument/2006/relationships/hyperlink" Target="http://www.dnopytle.cz/" TargetMode="External"/><Relationship Id="rId296" Type="http://schemas.openxmlformats.org/officeDocument/2006/relationships/hyperlink" Target="http://www.zelenakocka.cz/" TargetMode="External"/><Relationship Id="rId300" Type="http://schemas.openxmlformats.org/officeDocument/2006/relationships/hyperlink" Target="https://www.facebook.com/RetroPivnice" TargetMode="External"/><Relationship Id="rId461" Type="http://schemas.openxmlformats.org/officeDocument/2006/relationships/hyperlink" Target="https://goo.gl/THS9GM" TargetMode="External"/><Relationship Id="rId60" Type="http://schemas.openxmlformats.org/officeDocument/2006/relationships/hyperlink" Target="https://flic.kr/s/aHsmj5KEHj" TargetMode="External"/><Relationship Id="rId81" Type="http://schemas.openxmlformats.org/officeDocument/2006/relationships/hyperlink" Target="https://flic.kr/s/aHsm77bAtA" TargetMode="External"/><Relationship Id="rId135" Type="http://schemas.openxmlformats.org/officeDocument/2006/relationships/hyperlink" Target="https://flic.kr/s/aHskuioq6M" TargetMode="External"/><Relationship Id="rId156" Type="http://schemas.openxmlformats.org/officeDocument/2006/relationships/hyperlink" Target="https://flic.kr/s/aHsm8TLpnG" TargetMode="External"/><Relationship Id="rId177" Type="http://schemas.openxmlformats.org/officeDocument/2006/relationships/hyperlink" Target="https://flic.kr/s/aHsm7pXojd" TargetMode="External"/><Relationship Id="rId198" Type="http://schemas.openxmlformats.org/officeDocument/2006/relationships/hyperlink" Target="https://flic.kr/s/aHsmupzZ4n" TargetMode="External"/><Relationship Id="rId321" Type="http://schemas.openxmlformats.org/officeDocument/2006/relationships/hyperlink" Target="http://www.pivniceubazenu.cz/" TargetMode="External"/><Relationship Id="rId342" Type="http://schemas.openxmlformats.org/officeDocument/2006/relationships/hyperlink" Target="https://goo.gl/BApJGX" TargetMode="External"/><Relationship Id="rId363" Type="http://schemas.openxmlformats.org/officeDocument/2006/relationships/hyperlink" Target="https://www.facebook.com/pivovarhulvattruskovice" TargetMode="External"/><Relationship Id="rId384" Type="http://schemas.openxmlformats.org/officeDocument/2006/relationships/hyperlink" Target="https://flic.kr/s/aHsmvG1Zik" TargetMode="External"/><Relationship Id="rId419" Type="http://schemas.openxmlformats.org/officeDocument/2006/relationships/hyperlink" Target="https://www.facebook.com/pivokarlin" TargetMode="External"/><Relationship Id="rId202" Type="http://schemas.openxmlformats.org/officeDocument/2006/relationships/hyperlink" Target="https://flic.kr/s/aHsmgCSYUv" TargetMode="External"/><Relationship Id="rId223" Type="http://schemas.openxmlformats.org/officeDocument/2006/relationships/hyperlink" Target="https://flic.kr/s/aHsmb6gryC" TargetMode="External"/><Relationship Id="rId244" Type="http://schemas.openxmlformats.org/officeDocument/2006/relationships/hyperlink" Target="https://www.facebook.com/krikloun" TargetMode="External"/><Relationship Id="rId430" Type="http://schemas.openxmlformats.org/officeDocument/2006/relationships/hyperlink" Target="https://www.facebook.com/BeersNo.1" TargetMode="External"/><Relationship Id="rId18" Type="http://schemas.openxmlformats.org/officeDocument/2006/relationships/hyperlink" Target="https://flic.kr/s/aHsmupC1XD" TargetMode="External"/><Relationship Id="rId39" Type="http://schemas.openxmlformats.org/officeDocument/2006/relationships/hyperlink" Target="https://flic.kr/s/aHskxNh7Ds" TargetMode="External"/><Relationship Id="rId265" Type="http://schemas.openxmlformats.org/officeDocument/2006/relationships/hyperlink" Target="http://www.zevluvmlyn.cz/" TargetMode="External"/><Relationship Id="rId286" Type="http://schemas.openxmlformats.org/officeDocument/2006/relationships/hyperlink" Target="http://www.malyvelky.cz/" TargetMode="External"/><Relationship Id="rId451" Type="http://schemas.openxmlformats.org/officeDocument/2006/relationships/hyperlink" Target="https://goo.gl/b3eW9y" TargetMode="External"/><Relationship Id="rId472" Type="http://schemas.openxmlformats.org/officeDocument/2006/relationships/hyperlink" Target="http://www.kurniksopahospoda.cz/" TargetMode="External"/><Relationship Id="rId50" Type="http://schemas.openxmlformats.org/officeDocument/2006/relationships/hyperlink" Target="https://flic.kr/s/aHskvKNJx4" TargetMode="External"/><Relationship Id="rId104" Type="http://schemas.openxmlformats.org/officeDocument/2006/relationships/hyperlink" Target="https://flic.kr/s/aHsmh94Bgy" TargetMode="External"/><Relationship Id="rId125" Type="http://schemas.openxmlformats.org/officeDocument/2006/relationships/hyperlink" Target="https://www.facebook.com/minipivovarpalicak.cz" TargetMode="External"/><Relationship Id="rId146" Type="http://schemas.openxmlformats.org/officeDocument/2006/relationships/hyperlink" Target="https://flic.kr/s/aHsmd4WGmv" TargetMode="External"/><Relationship Id="rId167" Type="http://schemas.openxmlformats.org/officeDocument/2006/relationships/hyperlink" Target="https://flic.kr/s/aHsmb9BP3m" TargetMode="External"/><Relationship Id="rId188" Type="http://schemas.openxmlformats.org/officeDocument/2006/relationships/hyperlink" Target="https://flic.kr/s/aHsmgDrpRR" TargetMode="External"/><Relationship Id="rId311" Type="http://schemas.openxmlformats.org/officeDocument/2006/relationships/hyperlink" Target="http://www.baroquevedvore.cz/" TargetMode="External"/><Relationship Id="rId332" Type="http://schemas.openxmlformats.org/officeDocument/2006/relationships/hyperlink" Target="https://goo.gl/YLzNT6" TargetMode="External"/><Relationship Id="rId353" Type="http://schemas.openxmlformats.org/officeDocument/2006/relationships/hyperlink" Target="https://www.facebook.com/pivovarpodbesedou" TargetMode="External"/><Relationship Id="rId374" Type="http://schemas.openxmlformats.org/officeDocument/2006/relationships/hyperlink" Target="https://goo.gl/K9tEXQ" TargetMode="External"/><Relationship Id="rId395" Type="http://schemas.openxmlformats.org/officeDocument/2006/relationships/hyperlink" Target="https://www.navyvoji.cz/" TargetMode="External"/><Relationship Id="rId409" Type="http://schemas.openxmlformats.org/officeDocument/2006/relationships/hyperlink" Target="https://www.facebook.com/Bar-u-Vil%C3%A9ma-236267310117587" TargetMode="External"/><Relationship Id="rId71" Type="http://schemas.openxmlformats.org/officeDocument/2006/relationships/hyperlink" Target="https://flic.kr/s/aHsmgQNEQu" TargetMode="External"/><Relationship Id="rId92" Type="http://schemas.openxmlformats.org/officeDocument/2006/relationships/hyperlink" Target="https://flic.kr/s/aHskwFuTQW" TargetMode="External"/><Relationship Id="rId213" Type="http://schemas.openxmlformats.org/officeDocument/2006/relationships/hyperlink" Target="https://www.facebook.com/Hrochpub" TargetMode="External"/><Relationship Id="rId234" Type="http://schemas.openxmlformats.org/officeDocument/2006/relationships/hyperlink" Target="https://www.facebook.com/kousekpiva" TargetMode="External"/><Relationship Id="rId420" Type="http://schemas.openxmlformats.org/officeDocument/2006/relationships/hyperlink" Target="https://goo.gl/rZtGqo" TargetMode="External"/><Relationship Id="rId2" Type="http://schemas.openxmlformats.org/officeDocument/2006/relationships/hyperlink" Target="https://flic.kr/s/aHskur8MoZ" TargetMode="External"/><Relationship Id="rId29" Type="http://schemas.openxmlformats.org/officeDocument/2006/relationships/hyperlink" Target="https://flic.kr/s/aHskvKMS9Z" TargetMode="External"/><Relationship Id="rId255" Type="http://schemas.openxmlformats.org/officeDocument/2006/relationships/hyperlink" Target="https://kronl.cz/" TargetMode="External"/><Relationship Id="rId276" Type="http://schemas.openxmlformats.org/officeDocument/2006/relationships/hyperlink" Target="https://www.facebook.com/pivnicedobrepivo" TargetMode="External"/><Relationship Id="rId297" Type="http://schemas.openxmlformats.org/officeDocument/2006/relationships/hyperlink" Target="http://www.sopa.cz/" TargetMode="External"/><Relationship Id="rId441" Type="http://schemas.openxmlformats.org/officeDocument/2006/relationships/hyperlink" Target="https://www.facebook.com/beertime.pub" TargetMode="External"/><Relationship Id="rId462" Type="http://schemas.openxmlformats.org/officeDocument/2006/relationships/hyperlink" Target="https://www.facebook.com/pivovarcestmir" TargetMode="External"/><Relationship Id="rId40" Type="http://schemas.openxmlformats.org/officeDocument/2006/relationships/hyperlink" Target="https://flic.kr/s/aHskxpDXYq" TargetMode="External"/><Relationship Id="rId115" Type="http://schemas.openxmlformats.org/officeDocument/2006/relationships/hyperlink" Target="https://flic.kr/s/aHsm82PDcE" TargetMode="External"/><Relationship Id="rId136" Type="http://schemas.openxmlformats.org/officeDocument/2006/relationships/hyperlink" Target="https://www.facebook.com/pivo.kvetnice" TargetMode="External"/><Relationship Id="rId157" Type="http://schemas.openxmlformats.org/officeDocument/2006/relationships/hyperlink" Target="https://flic.kr/s/aHsmfnUe8T" TargetMode="External"/><Relationship Id="rId178" Type="http://schemas.openxmlformats.org/officeDocument/2006/relationships/hyperlink" Target="http://pivovarhluboka.cz/" TargetMode="External"/><Relationship Id="rId301" Type="http://schemas.openxmlformats.org/officeDocument/2006/relationships/hyperlink" Target="https://flic.kr/s/aHsmwMUJFH" TargetMode="External"/><Relationship Id="rId322" Type="http://schemas.openxmlformats.org/officeDocument/2006/relationships/hyperlink" Target="https://www.facebook.com/pivniceubazenu" TargetMode="External"/><Relationship Id="rId343" Type="http://schemas.openxmlformats.org/officeDocument/2006/relationships/hyperlink" Target="https://www.facebook.com/stacirna" TargetMode="External"/><Relationship Id="rId364" Type="http://schemas.openxmlformats.org/officeDocument/2006/relationships/hyperlink" Target="https://goo.gl/ndyQpW" TargetMode="External"/><Relationship Id="rId61" Type="http://schemas.openxmlformats.org/officeDocument/2006/relationships/hyperlink" Target="https://flic.kr/s/aHskwAkvHN" TargetMode="External"/><Relationship Id="rId82" Type="http://schemas.openxmlformats.org/officeDocument/2006/relationships/hyperlink" Target="http://penzionandula.cz/pivovar" TargetMode="External"/><Relationship Id="rId199" Type="http://schemas.openxmlformats.org/officeDocument/2006/relationships/hyperlink" Target="https://www.facebook.com/krasenskypivovar" TargetMode="External"/><Relationship Id="rId203" Type="http://schemas.openxmlformats.org/officeDocument/2006/relationships/hyperlink" Target="https://flic.kr/s/aHsmfyepEF" TargetMode="External"/><Relationship Id="rId385" Type="http://schemas.openxmlformats.org/officeDocument/2006/relationships/hyperlink" Target="http://www.pivovarberanek.cz/" TargetMode="External"/><Relationship Id="rId19" Type="http://schemas.openxmlformats.org/officeDocument/2006/relationships/hyperlink" Target="https://flic.kr/s/aHskvuoZHx" TargetMode="External"/><Relationship Id="rId224" Type="http://schemas.openxmlformats.org/officeDocument/2006/relationships/hyperlink" Target="http://www.topolskypivovar.cz/" TargetMode="External"/><Relationship Id="rId245" Type="http://schemas.openxmlformats.org/officeDocument/2006/relationships/hyperlink" Target="https://flic.kr/s/aHsm7ZV951" TargetMode="External"/><Relationship Id="rId266" Type="http://schemas.openxmlformats.org/officeDocument/2006/relationships/hyperlink" Target="https://www.facebook.com/zevluvmlyn" TargetMode="External"/><Relationship Id="rId287" Type="http://schemas.openxmlformats.org/officeDocument/2006/relationships/hyperlink" Target="https://www.facebook.com/barmalyvelky" TargetMode="External"/><Relationship Id="rId410" Type="http://schemas.openxmlformats.org/officeDocument/2006/relationships/hyperlink" Target="https://betlem-restaurant.cz/" TargetMode="External"/><Relationship Id="rId431" Type="http://schemas.openxmlformats.org/officeDocument/2006/relationships/hyperlink" Target="https://goo.gl/r7wzWv" TargetMode="External"/><Relationship Id="rId452" Type="http://schemas.openxmlformats.org/officeDocument/2006/relationships/hyperlink" Target="http://medojed.com/" TargetMode="External"/><Relationship Id="rId473" Type="http://schemas.openxmlformats.org/officeDocument/2006/relationships/printerSettings" Target="../printerSettings/printerSettings1.bin"/><Relationship Id="rId30" Type="http://schemas.openxmlformats.org/officeDocument/2006/relationships/hyperlink" Target="https://flic.kr/s/aHsmfxpyUp" TargetMode="External"/><Relationship Id="rId105" Type="http://schemas.openxmlformats.org/officeDocument/2006/relationships/hyperlink" Target="https://flic.kr/s/aHsmhZenkz" TargetMode="External"/><Relationship Id="rId126" Type="http://schemas.openxmlformats.org/officeDocument/2006/relationships/hyperlink" Target="https://flic.kr/s/aHskwvBCm5" TargetMode="External"/><Relationship Id="rId147" Type="http://schemas.openxmlformats.org/officeDocument/2006/relationships/hyperlink" Target="https://flic.kr/s/aHsmfNuP2X" TargetMode="External"/><Relationship Id="rId168" Type="http://schemas.openxmlformats.org/officeDocument/2006/relationships/hyperlink" Target="https://flic.kr/s/aHsmfxH6qF" TargetMode="External"/><Relationship Id="rId312" Type="http://schemas.openxmlformats.org/officeDocument/2006/relationships/hyperlink" Target="https://www.facebook.com/vedvore.cz" TargetMode="External"/><Relationship Id="rId333" Type="http://schemas.openxmlformats.org/officeDocument/2006/relationships/hyperlink" Target="https://www.pivnirestaurace.cz/" TargetMode="External"/><Relationship Id="rId354" Type="http://schemas.openxmlformats.org/officeDocument/2006/relationships/hyperlink" Target="https://goo.gl/zpqXFc" TargetMode="External"/><Relationship Id="rId51" Type="http://schemas.openxmlformats.org/officeDocument/2006/relationships/hyperlink" Target="https://www.facebook.com/PilsnerUrquellCzech" TargetMode="External"/><Relationship Id="rId72" Type="http://schemas.openxmlformats.org/officeDocument/2006/relationships/hyperlink" Target="https://flic.kr/s/aHsm7dWuKs" TargetMode="External"/><Relationship Id="rId93" Type="http://schemas.openxmlformats.org/officeDocument/2006/relationships/hyperlink" Target="https://flic.kr/s/aHsmhAcfSg" TargetMode="External"/><Relationship Id="rId189" Type="http://schemas.openxmlformats.org/officeDocument/2006/relationships/hyperlink" Target="https://flic.kr/s/aHsm82gT8E" TargetMode="External"/><Relationship Id="rId375" Type="http://schemas.openxmlformats.org/officeDocument/2006/relationships/hyperlink" Target="http://www.baron-karvina.cz/" TargetMode="External"/><Relationship Id="rId396" Type="http://schemas.openxmlformats.org/officeDocument/2006/relationships/hyperlink" Target="https://www.facebook.com/NaVyvoji" TargetMode="External"/><Relationship Id="rId3" Type="http://schemas.openxmlformats.org/officeDocument/2006/relationships/hyperlink" Target="https://goo.gl/d5QB3t" TargetMode="External"/><Relationship Id="rId214" Type="http://schemas.openxmlformats.org/officeDocument/2006/relationships/hyperlink" Target="http://basteckypivovar.cz/" TargetMode="External"/><Relationship Id="rId235" Type="http://schemas.openxmlformats.org/officeDocument/2006/relationships/hyperlink" Target="https://goo.gl/978tQW" TargetMode="External"/><Relationship Id="rId256" Type="http://schemas.openxmlformats.org/officeDocument/2006/relationships/hyperlink" Target="https://www.pivovarkujebak.cz/" TargetMode="External"/><Relationship Id="rId277" Type="http://schemas.openxmlformats.org/officeDocument/2006/relationships/hyperlink" Target="https://flic.kr/s/aHsmo3CYQs" TargetMode="External"/><Relationship Id="rId298" Type="http://schemas.openxmlformats.org/officeDocument/2006/relationships/hyperlink" Target="http://www.goodbeerclub.cz/" TargetMode="External"/><Relationship Id="rId400" Type="http://schemas.openxmlformats.org/officeDocument/2006/relationships/hyperlink" Target="https://goo.gl/KiisXN" TargetMode="External"/><Relationship Id="rId421" Type="http://schemas.openxmlformats.org/officeDocument/2006/relationships/hyperlink" Target="https://www.dvakohouti.cz/" TargetMode="External"/><Relationship Id="rId442" Type="http://schemas.openxmlformats.org/officeDocument/2006/relationships/hyperlink" Target="https://goo.gl/oVmKn3" TargetMode="External"/><Relationship Id="rId463" Type="http://schemas.openxmlformats.org/officeDocument/2006/relationships/hyperlink" Target="https://goo.gl/QkJUx7" TargetMode="External"/><Relationship Id="rId116" Type="http://schemas.openxmlformats.org/officeDocument/2006/relationships/hyperlink" Target="https://flic.kr/s/aHsmfxHJmp" TargetMode="External"/><Relationship Id="rId137" Type="http://schemas.openxmlformats.org/officeDocument/2006/relationships/hyperlink" Target="https://flic.kr/s/aHsmdLEUUx" TargetMode="External"/><Relationship Id="rId158" Type="http://schemas.openxmlformats.org/officeDocument/2006/relationships/hyperlink" Target="https://flic.kr/s/aHsmgDtJqv" TargetMode="External"/><Relationship Id="rId302" Type="http://schemas.openxmlformats.org/officeDocument/2006/relationships/hyperlink" Target="https://goo.gl/5agk3s" TargetMode="External"/><Relationship Id="rId323" Type="http://schemas.openxmlformats.org/officeDocument/2006/relationships/hyperlink" Target="https://www.facebook.com/Pod-Sakem-186759938565706" TargetMode="External"/><Relationship Id="rId344" Type="http://schemas.openxmlformats.org/officeDocument/2006/relationships/hyperlink" Target="https://www.facebook.com/dostavnik.nafojtstvi.5" TargetMode="External"/><Relationship Id="rId20" Type="http://schemas.openxmlformats.org/officeDocument/2006/relationships/hyperlink" Target="https://www.facebook.com/UMachyho2" TargetMode="External"/><Relationship Id="rId41" Type="http://schemas.openxmlformats.org/officeDocument/2006/relationships/hyperlink" Target="http://www.pivovar-vysokychlumec.cz/" TargetMode="External"/><Relationship Id="rId62" Type="http://schemas.openxmlformats.org/officeDocument/2006/relationships/hyperlink" Target="https://www.facebook.com/samson1795" TargetMode="External"/><Relationship Id="rId83" Type="http://schemas.openxmlformats.org/officeDocument/2006/relationships/hyperlink" Target="https://flic.kr/s/aHsmgrJtxA" TargetMode="External"/><Relationship Id="rId179" Type="http://schemas.openxmlformats.org/officeDocument/2006/relationships/hyperlink" Target="https://www.pivovarogar.cz/" TargetMode="External"/><Relationship Id="rId365" Type="http://schemas.openxmlformats.org/officeDocument/2006/relationships/hyperlink" Target="https://www.facebook.com/Franti%C5%A1kovy-l%C3%A1zn%C4%9B-206878463263922" TargetMode="External"/><Relationship Id="rId386" Type="http://schemas.openxmlformats.org/officeDocument/2006/relationships/hyperlink" Target="https://www.facebook.com/PivoBeranek" TargetMode="External"/><Relationship Id="rId190" Type="http://schemas.openxmlformats.org/officeDocument/2006/relationships/hyperlink" Target="http://pivovarknajzl.cz/" TargetMode="External"/><Relationship Id="rId204" Type="http://schemas.openxmlformats.org/officeDocument/2006/relationships/hyperlink" Target="https://flic.kr/s/aHsmpzz8ZK" TargetMode="External"/><Relationship Id="rId225" Type="http://schemas.openxmlformats.org/officeDocument/2006/relationships/hyperlink" Target="https://www.facebook.com/Topolskepivo" TargetMode="External"/><Relationship Id="rId246" Type="http://schemas.openxmlformats.org/officeDocument/2006/relationships/hyperlink" Target="http://www.ladronka.com/" TargetMode="External"/><Relationship Id="rId267" Type="http://schemas.openxmlformats.org/officeDocument/2006/relationships/hyperlink" Target="https://www.facebook.com/vojanuvdvurprague" TargetMode="External"/><Relationship Id="rId288" Type="http://schemas.openxmlformats.org/officeDocument/2006/relationships/hyperlink" Target="http://www.ochutnavkovapivnice.cz/" TargetMode="External"/><Relationship Id="rId411" Type="http://schemas.openxmlformats.org/officeDocument/2006/relationships/hyperlink" Target="https://www.facebook.com/restaurantbetlem" TargetMode="External"/><Relationship Id="rId432" Type="http://schemas.openxmlformats.org/officeDocument/2006/relationships/hyperlink" Target="https://flic.kr/s/aHsmvpto6F" TargetMode="External"/><Relationship Id="rId453" Type="http://schemas.openxmlformats.org/officeDocument/2006/relationships/hyperlink" Target="https://goo.gl/LXgjMu" TargetMode="External"/><Relationship Id="rId474" Type="http://schemas.openxmlformats.org/officeDocument/2006/relationships/drawing" Target="../drawings/drawing1.xml"/><Relationship Id="rId106" Type="http://schemas.openxmlformats.org/officeDocument/2006/relationships/hyperlink" Target="https://flic.kr/s/aHskug71UF" TargetMode="External"/><Relationship Id="rId127" Type="http://schemas.openxmlformats.org/officeDocument/2006/relationships/hyperlink" Target="https://flic.kr/s/aHsmc7ESDq" TargetMode="External"/><Relationship Id="rId313" Type="http://schemas.openxmlformats.org/officeDocument/2006/relationships/hyperlink" Target="http://zalepsipivo.cz/" TargetMode="External"/><Relationship Id="rId10" Type="http://schemas.openxmlformats.org/officeDocument/2006/relationships/hyperlink" Target="https://www.facebook.com/pivokutnahora.cz" TargetMode="External"/><Relationship Id="rId31" Type="http://schemas.openxmlformats.org/officeDocument/2006/relationships/hyperlink" Target="https://flic.kr/s/aHsmgFeKvH" TargetMode="External"/><Relationship Id="rId52" Type="http://schemas.openxmlformats.org/officeDocument/2006/relationships/hyperlink" Target="https://www.facebook.com/PivoPlatan" TargetMode="External"/><Relationship Id="rId73" Type="http://schemas.openxmlformats.org/officeDocument/2006/relationships/hyperlink" Target="https://www.facebook.com/pivovarmalenovice" TargetMode="External"/><Relationship Id="rId94" Type="http://schemas.openxmlformats.org/officeDocument/2006/relationships/hyperlink" Target="https://flic.kr/s/aHsmh7QJMY" TargetMode="External"/><Relationship Id="rId148" Type="http://schemas.openxmlformats.org/officeDocument/2006/relationships/hyperlink" Target="https://flic.kr/s/aHsmd4WfnB" TargetMode="External"/><Relationship Id="rId169" Type="http://schemas.openxmlformats.org/officeDocument/2006/relationships/hyperlink" Target="https://flic.kr/s/aHskwvHZw9" TargetMode="External"/><Relationship Id="rId334" Type="http://schemas.openxmlformats.org/officeDocument/2006/relationships/hyperlink" Target="https://www.facebook.com/PivniRestaurace" TargetMode="External"/><Relationship Id="rId355" Type="http://schemas.openxmlformats.org/officeDocument/2006/relationships/hyperlink" Target="http://starobelskypivovar.cz/starobelska-koliba" TargetMode="External"/><Relationship Id="rId376" Type="http://schemas.openxmlformats.org/officeDocument/2006/relationships/hyperlink" Target="https://flic.kr/s/aHskJMAEE2" TargetMode="External"/><Relationship Id="rId397" Type="http://schemas.openxmlformats.org/officeDocument/2006/relationships/hyperlink" Target="https://goo.gl/ejeptf" TargetMode="External"/><Relationship Id="rId4" Type="http://schemas.openxmlformats.org/officeDocument/2006/relationships/hyperlink" Target="https://flic.kr/s/aHsmgXPk2s" TargetMode="External"/><Relationship Id="rId180" Type="http://schemas.openxmlformats.org/officeDocument/2006/relationships/hyperlink" Target="https://www.facebook.com/pivovarogar" TargetMode="External"/><Relationship Id="rId215" Type="http://schemas.openxmlformats.org/officeDocument/2006/relationships/hyperlink" Target="https://www.facebook.com/basteckypivovar" TargetMode="External"/><Relationship Id="rId236" Type="http://schemas.openxmlformats.org/officeDocument/2006/relationships/hyperlink" Target="https://www.pivovar-liban.cz/" TargetMode="External"/><Relationship Id="rId257" Type="http://schemas.openxmlformats.org/officeDocument/2006/relationships/hyperlink" Target="https://flic.kr/s/aHsmhesQQu" TargetMode="External"/><Relationship Id="rId278" Type="http://schemas.openxmlformats.org/officeDocument/2006/relationships/hyperlink" Target="http://www.fabar.cz/" TargetMode="External"/><Relationship Id="rId401" Type="http://schemas.openxmlformats.org/officeDocument/2006/relationships/hyperlink" Target="http://www.pivovar-senov.cz/" TargetMode="External"/><Relationship Id="rId422" Type="http://schemas.openxmlformats.org/officeDocument/2006/relationships/hyperlink" Target="https://www.facebook.com/dva.kohouti" TargetMode="External"/><Relationship Id="rId443" Type="http://schemas.openxmlformats.org/officeDocument/2006/relationships/hyperlink" Target="https://www.facebook.com/PivovarHrochLiberec" TargetMode="External"/><Relationship Id="rId464" Type="http://schemas.openxmlformats.org/officeDocument/2006/relationships/hyperlink" Target="https://www.facebook.com/eMBepivovar" TargetMode="External"/><Relationship Id="rId303" Type="http://schemas.openxmlformats.org/officeDocument/2006/relationships/hyperlink" Target="http://pustkovec.stracenapub.cz/" TargetMode="External"/><Relationship Id="rId42" Type="http://schemas.openxmlformats.org/officeDocument/2006/relationships/hyperlink" Target="https://flic.kr/s/aHsmxDsERu" TargetMode="External"/><Relationship Id="rId84" Type="http://schemas.openxmlformats.org/officeDocument/2006/relationships/hyperlink" Target="https://flic.kr/s/aHsmfxodQP" TargetMode="External"/><Relationship Id="rId138" Type="http://schemas.openxmlformats.org/officeDocument/2006/relationships/hyperlink" Target="https://www.facebook.com/pivovarpocernicecz" TargetMode="External"/><Relationship Id="rId345" Type="http://schemas.openxmlformats.org/officeDocument/2006/relationships/hyperlink" Target="https://goo.gl/3YwTmN" TargetMode="External"/><Relationship Id="rId387" Type="http://schemas.openxmlformats.org/officeDocument/2006/relationships/hyperlink" Target="https://goo.gl/rEx7RF" TargetMode="External"/><Relationship Id="rId191" Type="http://schemas.openxmlformats.org/officeDocument/2006/relationships/hyperlink" Target="https://www.facebook.com/PivnibarDedkuvmlyn" TargetMode="External"/><Relationship Id="rId205" Type="http://schemas.openxmlformats.org/officeDocument/2006/relationships/hyperlink" Target="https://www.minipivovar-cepice.cz/" TargetMode="External"/><Relationship Id="rId247" Type="http://schemas.openxmlformats.org/officeDocument/2006/relationships/hyperlink" Target="https://www.facebook.com/officialusedlostladronka" TargetMode="External"/><Relationship Id="rId412" Type="http://schemas.openxmlformats.org/officeDocument/2006/relationships/hyperlink" Target="https://ubaumannu.cz/" TargetMode="External"/><Relationship Id="rId107" Type="http://schemas.openxmlformats.org/officeDocument/2006/relationships/hyperlink" Target="https://flic.kr/s/aHsmfwws2w" TargetMode="External"/><Relationship Id="rId289" Type="http://schemas.openxmlformats.org/officeDocument/2006/relationships/hyperlink" Target="https://pivniraj.com/" TargetMode="External"/><Relationship Id="rId454" Type="http://schemas.openxmlformats.org/officeDocument/2006/relationships/hyperlink" Target="https://www.facebook.com/pivovarbubenec" TargetMode="External"/><Relationship Id="rId11" Type="http://schemas.openxmlformats.org/officeDocument/2006/relationships/hyperlink" Target="https://flic.kr/s/aHsmm6iGEN" TargetMode="External"/><Relationship Id="rId53" Type="http://schemas.openxmlformats.org/officeDocument/2006/relationships/hyperlink" Target="https://flic.kr/s/aHsmgQEVCb" TargetMode="External"/><Relationship Id="rId149" Type="http://schemas.openxmlformats.org/officeDocument/2006/relationships/hyperlink" Target="https://flic.kr/s/aHsmftMueq" TargetMode="External"/><Relationship Id="rId314" Type="http://schemas.openxmlformats.org/officeDocument/2006/relationships/hyperlink" Target="https://www.facebook.com/DobrePivoBrno" TargetMode="External"/><Relationship Id="rId356" Type="http://schemas.openxmlformats.org/officeDocument/2006/relationships/hyperlink" Target="https://www.facebook.com/Koliba-B%C4%9Blsk%C3%BD-les-720573991438872" TargetMode="External"/><Relationship Id="rId398" Type="http://schemas.openxmlformats.org/officeDocument/2006/relationships/hyperlink" Target="https://www.utomana.cz/" TargetMode="External"/><Relationship Id="rId95" Type="http://schemas.openxmlformats.org/officeDocument/2006/relationships/hyperlink" Target="https://www.facebook.com/Grollpivovar" TargetMode="External"/><Relationship Id="rId160" Type="http://schemas.openxmlformats.org/officeDocument/2006/relationships/hyperlink" Target="https://flic.kr/s/aHsmeQPekf" TargetMode="External"/><Relationship Id="rId216" Type="http://schemas.openxmlformats.org/officeDocument/2006/relationships/hyperlink" Target="https://goo.gl/5agk3s" TargetMode="External"/><Relationship Id="rId423" Type="http://schemas.openxmlformats.org/officeDocument/2006/relationships/hyperlink" Target="https://goo.gl/pwTdsp" TargetMode="External"/><Relationship Id="rId258" Type="http://schemas.openxmlformats.org/officeDocument/2006/relationships/hyperlink" Target="http://www.konickuv-dvur.cz/" TargetMode="External"/><Relationship Id="rId465" Type="http://schemas.openxmlformats.org/officeDocument/2006/relationships/hyperlink" Target="https://goo.gl/QPXJtH" TargetMode="External"/><Relationship Id="rId22" Type="http://schemas.openxmlformats.org/officeDocument/2006/relationships/hyperlink" Target="https://www.facebook.com/becherplatzKV" TargetMode="External"/><Relationship Id="rId64" Type="http://schemas.openxmlformats.org/officeDocument/2006/relationships/hyperlink" Target="https://flic.kr/s/aHskui5gxR" TargetMode="External"/><Relationship Id="rId118" Type="http://schemas.openxmlformats.org/officeDocument/2006/relationships/hyperlink" Target="https://flic.kr/s/aHskyGWLKQ" TargetMode="External"/><Relationship Id="rId325" Type="http://schemas.openxmlformats.org/officeDocument/2006/relationships/hyperlink" Target="http://www.prajzko.cz/" TargetMode="External"/><Relationship Id="rId367" Type="http://schemas.openxmlformats.org/officeDocument/2006/relationships/hyperlink" Target="https://www.facebook.com/pioneerbeer" TargetMode="External"/><Relationship Id="rId171" Type="http://schemas.openxmlformats.org/officeDocument/2006/relationships/hyperlink" Target="https://flic.kr/s/aHsmgQ1VSM" TargetMode="External"/><Relationship Id="rId227" Type="http://schemas.openxmlformats.org/officeDocument/2006/relationships/hyperlink" Target="https://pivovar-keras-bechyne.webnode.cz/" TargetMode="External"/><Relationship Id="rId269" Type="http://schemas.openxmlformats.org/officeDocument/2006/relationships/hyperlink" Target="http://www.auxcafe.com/" TargetMode="External"/><Relationship Id="rId434" Type="http://schemas.openxmlformats.org/officeDocument/2006/relationships/hyperlink" Target="https://goo.gl/o1Rbvq" TargetMode="External"/><Relationship Id="rId33" Type="http://schemas.openxmlformats.org/officeDocument/2006/relationships/hyperlink" Target="https://www.facebook.com/Hostinec-Pivovar-Kozlovice-1814612945497360" TargetMode="External"/><Relationship Id="rId129" Type="http://schemas.openxmlformats.org/officeDocument/2006/relationships/hyperlink" Target="https://flic.kr/s/aHsmbqzYBE" TargetMode="External"/><Relationship Id="rId280" Type="http://schemas.openxmlformats.org/officeDocument/2006/relationships/hyperlink" Target="https://flic.kr/s/aHsmtooo8R" TargetMode="External"/><Relationship Id="rId336" Type="http://schemas.openxmlformats.org/officeDocument/2006/relationships/hyperlink" Target="http://www.pivarium.cz/" TargetMode="External"/><Relationship Id="rId75" Type="http://schemas.openxmlformats.org/officeDocument/2006/relationships/hyperlink" Target="https://flic.kr/s/aHsmd56pPK" TargetMode="External"/><Relationship Id="rId140" Type="http://schemas.openxmlformats.org/officeDocument/2006/relationships/hyperlink" Target="https://flic.kr/s/aHsmfwXCHG" TargetMode="External"/><Relationship Id="rId182" Type="http://schemas.openxmlformats.org/officeDocument/2006/relationships/hyperlink" Target="https://flic.kr/s/aHsmfgWiNj" TargetMode="External"/><Relationship Id="rId378" Type="http://schemas.openxmlformats.org/officeDocument/2006/relationships/hyperlink" Target="https://goo.gl/KfHhYn" TargetMode="External"/><Relationship Id="rId403" Type="http://schemas.openxmlformats.org/officeDocument/2006/relationships/hyperlink" Target="http://www.ziznivydromedar.cz/" TargetMode="External"/><Relationship Id="rId6" Type="http://schemas.openxmlformats.org/officeDocument/2006/relationships/hyperlink" Target="https://www.facebook.com/lukas.brabec.543" TargetMode="External"/><Relationship Id="rId238" Type="http://schemas.openxmlformats.org/officeDocument/2006/relationships/hyperlink" Target="https://flic.kr/s/aHsmiJgiZ4" TargetMode="External"/><Relationship Id="rId445" Type="http://schemas.openxmlformats.org/officeDocument/2006/relationships/hyperlink" Target="https://goo.gl/ofv8tt" TargetMode="External"/><Relationship Id="rId291" Type="http://schemas.openxmlformats.org/officeDocument/2006/relationships/hyperlink" Target="http://www.theimmigrant.cz/" TargetMode="External"/><Relationship Id="rId305" Type="http://schemas.openxmlformats.org/officeDocument/2006/relationships/hyperlink" Target="http://www.prdek.cz/" TargetMode="External"/><Relationship Id="rId347" Type="http://schemas.openxmlformats.org/officeDocument/2006/relationships/hyperlink" Target="https://goo.gl/h9CiKJ" TargetMode="External"/><Relationship Id="rId44" Type="http://schemas.openxmlformats.org/officeDocument/2006/relationships/hyperlink" Target="https://flic.kr/s/aHsm7dUpSW" TargetMode="External"/><Relationship Id="rId86" Type="http://schemas.openxmlformats.org/officeDocument/2006/relationships/hyperlink" Target="https://www.facebook.com/podlipoukysice" TargetMode="External"/><Relationship Id="rId151" Type="http://schemas.openxmlformats.org/officeDocument/2006/relationships/hyperlink" Target="https://www.facebook.com/harleypub" TargetMode="External"/><Relationship Id="rId389" Type="http://schemas.openxmlformats.org/officeDocument/2006/relationships/hyperlink" Target="http://pivogarp.cz/"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flic.kr/s/aHskuhtQWe" TargetMode="External"/><Relationship Id="rId21" Type="http://schemas.openxmlformats.org/officeDocument/2006/relationships/hyperlink" Target="https://flic.kr/s/aHskvuoZHx" TargetMode="External"/><Relationship Id="rId42" Type="http://schemas.openxmlformats.org/officeDocument/2006/relationships/hyperlink" Target="https://goo.gl/eKt9eJ" TargetMode="External"/><Relationship Id="rId63" Type="http://schemas.openxmlformats.org/officeDocument/2006/relationships/hyperlink" Target="https://flic.kr/s/aHskui5gxR" TargetMode="External"/><Relationship Id="rId84" Type="http://schemas.openxmlformats.org/officeDocument/2006/relationships/hyperlink" Target="https://goo.gl/UwbWhM" TargetMode="External"/><Relationship Id="rId138" Type="http://schemas.openxmlformats.org/officeDocument/2006/relationships/hyperlink" Target="https://flic.kr/s/aHsmb44QGC" TargetMode="External"/><Relationship Id="rId159" Type="http://schemas.openxmlformats.org/officeDocument/2006/relationships/hyperlink" Target="https://flic.kr/s/aHsmb9BP3m" TargetMode="External"/><Relationship Id="rId170" Type="http://schemas.openxmlformats.org/officeDocument/2006/relationships/hyperlink" Target="https://www.facebook.com/pivovarogar" TargetMode="External"/><Relationship Id="rId191" Type="http://schemas.openxmlformats.org/officeDocument/2006/relationships/hyperlink" Target="https://flic.kr/s/aHsmfyepEF" TargetMode="External"/><Relationship Id="rId205" Type="http://schemas.openxmlformats.org/officeDocument/2006/relationships/hyperlink" Target="http://www.topolskahospoda.cz/" TargetMode="External"/><Relationship Id="rId226" Type="http://schemas.openxmlformats.org/officeDocument/2006/relationships/hyperlink" Target="https://www.facebook.com/pivovarcobolis" TargetMode="External"/><Relationship Id="rId247" Type="http://schemas.openxmlformats.org/officeDocument/2006/relationships/hyperlink" Target="https://www.facebook.com/pivovarbandita" TargetMode="External"/><Relationship Id="rId107" Type="http://schemas.openxmlformats.org/officeDocument/2006/relationships/hyperlink" Target="https://goo.gl/RRWdhy" TargetMode="External"/><Relationship Id="rId11" Type="http://schemas.openxmlformats.org/officeDocument/2006/relationships/hyperlink" Target="http://pivovarmodrahvezda.cz/" TargetMode="External"/><Relationship Id="rId32" Type="http://schemas.openxmlformats.org/officeDocument/2006/relationships/hyperlink" Target="https://flic.kr/s/aHsmgFeKvH" TargetMode="External"/><Relationship Id="rId53" Type="http://schemas.openxmlformats.org/officeDocument/2006/relationships/hyperlink" Target="https://goo.gl/gsQwov" TargetMode="External"/><Relationship Id="rId74" Type="http://schemas.openxmlformats.org/officeDocument/2006/relationships/hyperlink" Target="https://flic.kr/s/aHsmdfsyaF" TargetMode="External"/><Relationship Id="rId128" Type="http://schemas.openxmlformats.org/officeDocument/2006/relationships/hyperlink" Target="https://flic.kr/s/aHsmg8guj5" TargetMode="External"/><Relationship Id="rId149" Type="http://schemas.openxmlformats.org/officeDocument/2006/relationships/hyperlink" Target="https://flic.kr/s/aHsm8TLpnG" TargetMode="External"/><Relationship Id="rId5" Type="http://schemas.openxmlformats.org/officeDocument/2006/relationships/hyperlink" Target="https://flic.kr/s/aHskufKEcZ" TargetMode="External"/><Relationship Id="rId95" Type="http://schemas.openxmlformats.org/officeDocument/2006/relationships/hyperlink" Target="https://www.facebook.com/Grollpivovar" TargetMode="External"/><Relationship Id="rId160" Type="http://schemas.openxmlformats.org/officeDocument/2006/relationships/hyperlink" Target="https://flic.kr/s/aHsmfxH6qF" TargetMode="External"/><Relationship Id="rId181" Type="http://schemas.openxmlformats.org/officeDocument/2006/relationships/hyperlink" Target="http://pivovarvolt.cz/" TargetMode="External"/><Relationship Id="rId216" Type="http://schemas.openxmlformats.org/officeDocument/2006/relationships/hyperlink" Target="http://www.kousekpiva.cz/" TargetMode="External"/><Relationship Id="rId237" Type="http://schemas.openxmlformats.org/officeDocument/2006/relationships/hyperlink" Target="https://www.facebook.com/pivovarspojovna" TargetMode="External"/><Relationship Id="rId258" Type="http://schemas.openxmlformats.org/officeDocument/2006/relationships/hyperlink" Target="https://www.facebook.com/vojanuvdvurprague" TargetMode="External"/><Relationship Id="rId22" Type="http://schemas.openxmlformats.org/officeDocument/2006/relationships/hyperlink" Target="https://becherplatz.cz/" TargetMode="External"/><Relationship Id="rId43" Type="http://schemas.openxmlformats.org/officeDocument/2006/relationships/hyperlink" Target="https://flic.kr/s/aHskugdwHM" TargetMode="External"/><Relationship Id="rId64" Type="http://schemas.openxmlformats.org/officeDocument/2006/relationships/hyperlink" Target="https://flic.kr/s/aHsmi7fung" TargetMode="External"/><Relationship Id="rId118" Type="http://schemas.openxmlformats.org/officeDocument/2006/relationships/hyperlink" Target="https://flic.kr/s/aHskyGWLKQ" TargetMode="External"/><Relationship Id="rId139" Type="http://schemas.openxmlformats.org/officeDocument/2006/relationships/hyperlink" Target="https://flic.kr/s/aHsmeCG4rJ" TargetMode="External"/><Relationship Id="rId85" Type="http://schemas.openxmlformats.org/officeDocument/2006/relationships/hyperlink" Target="https://goo.gl/oPdGcF" TargetMode="External"/><Relationship Id="rId150" Type="http://schemas.openxmlformats.org/officeDocument/2006/relationships/hyperlink" Target="https://flic.kr/s/aHsmfnUe8T" TargetMode="External"/><Relationship Id="rId171" Type="http://schemas.openxmlformats.org/officeDocument/2006/relationships/hyperlink" Target="https://goo.gl/zSdMsB" TargetMode="External"/><Relationship Id="rId192" Type="http://schemas.openxmlformats.org/officeDocument/2006/relationships/hyperlink" Target="https://flic.kr/s/aHskugot4n" TargetMode="External"/><Relationship Id="rId206" Type="http://schemas.openxmlformats.org/officeDocument/2006/relationships/hyperlink" Target="https://goo.gl/iHWvXN" TargetMode="External"/><Relationship Id="rId227" Type="http://schemas.openxmlformats.org/officeDocument/2006/relationships/hyperlink" Target="https://goo.gl/8BjVVD" TargetMode="External"/><Relationship Id="rId248" Type="http://schemas.openxmlformats.org/officeDocument/2006/relationships/hyperlink" Target="https://goo.gl/3QBVwm" TargetMode="External"/><Relationship Id="rId12" Type="http://schemas.openxmlformats.org/officeDocument/2006/relationships/hyperlink" Target="https://goo.gl/wJcYNb" TargetMode="External"/><Relationship Id="rId33" Type="http://schemas.openxmlformats.org/officeDocument/2006/relationships/hyperlink" Target="http://www.relaxvpodhuri.cz/" TargetMode="External"/><Relationship Id="rId108" Type="http://schemas.openxmlformats.org/officeDocument/2006/relationships/hyperlink" Target="https://flic.kr/s/aHskug71UF" TargetMode="External"/><Relationship Id="rId129" Type="http://schemas.openxmlformats.org/officeDocument/2006/relationships/hyperlink" Target="https://goo.gl/V43jn5" TargetMode="External"/><Relationship Id="rId54" Type="http://schemas.openxmlformats.org/officeDocument/2006/relationships/hyperlink" Target="https://flic.kr/s/aHsmgQEVCb" TargetMode="External"/><Relationship Id="rId75" Type="http://schemas.openxmlformats.org/officeDocument/2006/relationships/hyperlink" Target="https://flic.kr/s/aHsmd56pPK" TargetMode="External"/><Relationship Id="rId96" Type="http://schemas.openxmlformats.org/officeDocument/2006/relationships/hyperlink" Target="https://flic.kr/s/aHsmgDq9g4" TargetMode="External"/><Relationship Id="rId140" Type="http://schemas.openxmlformats.org/officeDocument/2006/relationships/hyperlink" Target="https://flic.kr/s/aHsmfx1g6h" TargetMode="External"/><Relationship Id="rId161" Type="http://schemas.openxmlformats.org/officeDocument/2006/relationships/hyperlink" Target="https://flic.kr/s/aHskwvHZw9" TargetMode="External"/><Relationship Id="rId182" Type="http://schemas.openxmlformats.org/officeDocument/2006/relationships/hyperlink" Target="https://www.facebook.com/HermanickyPivovar" TargetMode="External"/><Relationship Id="rId217" Type="http://schemas.openxmlformats.org/officeDocument/2006/relationships/hyperlink" Target="https://www.facebook.com/beerwarehousecz" TargetMode="External"/><Relationship Id="rId1" Type="http://schemas.openxmlformats.org/officeDocument/2006/relationships/hyperlink" Target="https://flic.kr/s/aHsmih7Qki" TargetMode="External"/><Relationship Id="rId6" Type="http://schemas.openxmlformats.org/officeDocument/2006/relationships/hyperlink" Target="https://goo.gl/syQjmF" TargetMode="External"/><Relationship Id="rId212" Type="http://schemas.openxmlformats.org/officeDocument/2006/relationships/hyperlink" Target="http://www.elmontex.cz/" TargetMode="External"/><Relationship Id="rId233" Type="http://schemas.openxmlformats.org/officeDocument/2006/relationships/hyperlink" Target="http://saloonroudna.cz/" TargetMode="External"/><Relationship Id="rId238" Type="http://schemas.openxmlformats.org/officeDocument/2006/relationships/hyperlink" Target="https://goo.gl/EdWwfz" TargetMode="External"/><Relationship Id="rId254" Type="http://schemas.openxmlformats.org/officeDocument/2006/relationships/hyperlink" Target="https://goo.gl/d8YW4w" TargetMode="External"/><Relationship Id="rId259" Type="http://schemas.openxmlformats.org/officeDocument/2006/relationships/hyperlink" Target="https://goo.gl/5og8MU" TargetMode="External"/><Relationship Id="rId23" Type="http://schemas.openxmlformats.org/officeDocument/2006/relationships/hyperlink" Target="https://www.facebook.com/becherplatzKV" TargetMode="External"/><Relationship Id="rId28" Type="http://schemas.openxmlformats.org/officeDocument/2006/relationships/hyperlink" Target="http://restaurace-kohutka.cz/" TargetMode="External"/><Relationship Id="rId49" Type="http://schemas.openxmlformats.org/officeDocument/2006/relationships/hyperlink" Target="https://flic.kr/s/aHskyRXLLq" TargetMode="External"/><Relationship Id="rId114" Type="http://schemas.openxmlformats.org/officeDocument/2006/relationships/hyperlink" Target="https://www.facebook.com/Chebsky-pivovar-702598899823908" TargetMode="External"/><Relationship Id="rId119" Type="http://schemas.openxmlformats.org/officeDocument/2006/relationships/hyperlink" Target="https://flic.kr/s/aHsmev7QxA" TargetMode="External"/><Relationship Id="rId44" Type="http://schemas.openxmlformats.org/officeDocument/2006/relationships/hyperlink" Target="https://goo.gl/bTt92w" TargetMode="External"/><Relationship Id="rId60" Type="http://schemas.openxmlformats.org/officeDocument/2006/relationships/hyperlink" Target="https://www.facebook.com/samson1795" TargetMode="External"/><Relationship Id="rId65" Type="http://schemas.openxmlformats.org/officeDocument/2006/relationships/hyperlink" Target="https://flic.kr/s/aHsme1wfeP" TargetMode="External"/><Relationship Id="rId81" Type="http://schemas.openxmlformats.org/officeDocument/2006/relationships/hyperlink" Target="https://flic.kr/s/aHsm77bAtA" TargetMode="External"/><Relationship Id="rId86" Type="http://schemas.openxmlformats.org/officeDocument/2006/relationships/hyperlink" Target="https://flic.kr/s/aHsmfxodQP" TargetMode="External"/><Relationship Id="rId130" Type="http://schemas.openxmlformats.org/officeDocument/2006/relationships/hyperlink" Target="https://flic.kr/s/aHsmgttU4s" TargetMode="External"/><Relationship Id="rId135" Type="http://schemas.openxmlformats.org/officeDocument/2006/relationships/hyperlink" Target="https://flic.kr/s/aHsmfwXCHG" TargetMode="External"/><Relationship Id="rId151" Type="http://schemas.openxmlformats.org/officeDocument/2006/relationships/hyperlink" Target="https://flic.kr/s/aHsmgDtJqv" TargetMode="External"/><Relationship Id="rId156" Type="http://schemas.openxmlformats.org/officeDocument/2006/relationships/hyperlink" Target="https://flic.kr/s/aHsktp7nXT" TargetMode="External"/><Relationship Id="rId177" Type="http://schemas.openxmlformats.org/officeDocument/2006/relationships/hyperlink" Target="https://flic.kr/s/aHskuFTfMM" TargetMode="External"/><Relationship Id="rId198" Type="http://schemas.openxmlformats.org/officeDocument/2006/relationships/hyperlink" Target="https://flic.kr/s/aHsktkBPBe" TargetMode="External"/><Relationship Id="rId172" Type="http://schemas.openxmlformats.org/officeDocument/2006/relationships/hyperlink" Target="https://flic.kr/s/aHsmdYrJPg" TargetMode="External"/><Relationship Id="rId193" Type="http://schemas.openxmlformats.org/officeDocument/2006/relationships/hyperlink" Target="https://flic.kr/s/aHskwAspVw" TargetMode="External"/><Relationship Id="rId202" Type="http://schemas.openxmlformats.org/officeDocument/2006/relationships/hyperlink" Target="https://flic.kr/s/aHskybCcZq" TargetMode="External"/><Relationship Id="rId207" Type="http://schemas.openxmlformats.org/officeDocument/2006/relationships/hyperlink" Target="https://pivovar-keras-bechyne.webnode.cz/" TargetMode="External"/><Relationship Id="rId223" Type="http://schemas.openxmlformats.org/officeDocument/2006/relationships/hyperlink" Target="https://www.facebook.com/pivovarreporyje" TargetMode="External"/><Relationship Id="rId228" Type="http://schemas.openxmlformats.org/officeDocument/2006/relationships/hyperlink" Target="https://www.facebook.com/krikloun" TargetMode="External"/><Relationship Id="rId244" Type="http://schemas.openxmlformats.org/officeDocument/2006/relationships/hyperlink" Target="http://www.konickuv-dvur.cz/" TargetMode="External"/><Relationship Id="rId249" Type="http://schemas.openxmlformats.org/officeDocument/2006/relationships/hyperlink" Target="https://www.campsrbsko.cz/" TargetMode="External"/><Relationship Id="rId13" Type="http://schemas.openxmlformats.org/officeDocument/2006/relationships/hyperlink" Target="https://www.facebook.com/dudak.strakonice" TargetMode="External"/><Relationship Id="rId18" Type="http://schemas.openxmlformats.org/officeDocument/2006/relationships/hyperlink" Target="https://goo.gl/8FajC1" TargetMode="External"/><Relationship Id="rId39" Type="http://schemas.openxmlformats.org/officeDocument/2006/relationships/hyperlink" Target="https://flic.kr/s/aHskxNh7Ds" TargetMode="External"/><Relationship Id="rId109" Type="http://schemas.openxmlformats.org/officeDocument/2006/relationships/hyperlink" Target="https://flic.kr/s/aHsmfwws2w" TargetMode="External"/><Relationship Id="rId260" Type="http://schemas.openxmlformats.org/officeDocument/2006/relationships/hyperlink" Target="http://gastro-zoo.cz/" TargetMode="External"/><Relationship Id="rId34" Type="http://schemas.openxmlformats.org/officeDocument/2006/relationships/hyperlink" Target="https://www.facebook.com/Hostinec-Pivovar-Kozlovice-1814612945497360" TargetMode="External"/><Relationship Id="rId50" Type="http://schemas.openxmlformats.org/officeDocument/2006/relationships/hyperlink" Target="https://flic.kr/s/aHsmfMW1xt" TargetMode="External"/><Relationship Id="rId55" Type="http://schemas.openxmlformats.org/officeDocument/2006/relationships/hyperlink" Target="https://flic.kr/s/aHsme9F67K" TargetMode="External"/><Relationship Id="rId76" Type="http://schemas.openxmlformats.org/officeDocument/2006/relationships/hyperlink" Target="https://flic.kr/s/aHsmfuMyUw" TargetMode="External"/><Relationship Id="rId97" Type="http://schemas.openxmlformats.org/officeDocument/2006/relationships/hyperlink" Target="https://goo.gl/jyjQBm" TargetMode="External"/><Relationship Id="rId104" Type="http://schemas.openxmlformats.org/officeDocument/2006/relationships/hyperlink" Target="https://flic.kr/s/aHsmfNt7uB" TargetMode="External"/><Relationship Id="rId120" Type="http://schemas.openxmlformats.org/officeDocument/2006/relationships/hyperlink" Target="https://flic.kr/s/aHsmgDuhwe" TargetMode="External"/><Relationship Id="rId125" Type="http://schemas.openxmlformats.org/officeDocument/2006/relationships/hyperlink" Target="https://flic.kr/s/aHsmc7ESDq" TargetMode="External"/><Relationship Id="rId141" Type="http://schemas.openxmlformats.org/officeDocument/2006/relationships/hyperlink" Target="https://flic.kr/s/aHsmd4WGmv" TargetMode="External"/><Relationship Id="rId146" Type="http://schemas.openxmlformats.org/officeDocument/2006/relationships/hyperlink" Target="https://flic.kr/s/aHsmb9AD1u" TargetMode="External"/><Relationship Id="rId167" Type="http://schemas.openxmlformats.org/officeDocument/2006/relationships/hyperlink" Target="https://flic.kr/s/aHsm7pXojd" TargetMode="External"/><Relationship Id="rId188" Type="http://schemas.openxmlformats.org/officeDocument/2006/relationships/hyperlink" Target="https://flic.kr/s/aHskws9usG" TargetMode="External"/><Relationship Id="rId7" Type="http://schemas.openxmlformats.org/officeDocument/2006/relationships/hyperlink" Target="https://www.facebook.com/lukas.brabec.543" TargetMode="External"/><Relationship Id="rId71" Type="http://schemas.openxmlformats.org/officeDocument/2006/relationships/hyperlink" Target="https://flic.kr/s/aHsmgQNEQu" TargetMode="External"/><Relationship Id="rId92" Type="http://schemas.openxmlformats.org/officeDocument/2006/relationships/hyperlink" Target="https://flic.kr/s/aHskwFuTQW" TargetMode="External"/><Relationship Id="rId162" Type="http://schemas.openxmlformats.org/officeDocument/2006/relationships/hyperlink" Target="https://flic.kr/s/aHsmgQ1VSM" TargetMode="External"/><Relationship Id="rId183" Type="http://schemas.openxmlformats.org/officeDocument/2006/relationships/hyperlink" Target="https://flic.kr/s/aHskwArBpW" TargetMode="External"/><Relationship Id="rId213" Type="http://schemas.openxmlformats.org/officeDocument/2006/relationships/hyperlink" Target="https://www.facebook.com/RestauraceAero" TargetMode="External"/><Relationship Id="rId218" Type="http://schemas.openxmlformats.org/officeDocument/2006/relationships/hyperlink" Target="https://goo.gl/rmJdZy" TargetMode="External"/><Relationship Id="rId234" Type="http://schemas.openxmlformats.org/officeDocument/2006/relationships/hyperlink" Target="https://www.facebook.com/saloonroudna" TargetMode="External"/><Relationship Id="rId239" Type="http://schemas.openxmlformats.org/officeDocument/2006/relationships/hyperlink" Target="https://goo.gl/M5N54r" TargetMode="External"/><Relationship Id="rId2" Type="http://schemas.openxmlformats.org/officeDocument/2006/relationships/hyperlink" Target="https://goo.gl/EJ6UDe" TargetMode="External"/><Relationship Id="rId29" Type="http://schemas.openxmlformats.org/officeDocument/2006/relationships/hyperlink" Target="https://www.facebook.com/restaurace.kohutka" TargetMode="External"/><Relationship Id="rId250" Type="http://schemas.openxmlformats.org/officeDocument/2006/relationships/hyperlink" Target="https://www.facebook.com/CAMP-Srbsko-597253130421411" TargetMode="External"/><Relationship Id="rId255" Type="http://schemas.openxmlformats.org/officeDocument/2006/relationships/hyperlink" Target="http://www.zevluvmlyn.cz/" TargetMode="External"/><Relationship Id="rId24" Type="http://schemas.openxmlformats.org/officeDocument/2006/relationships/hyperlink" Target="http://www.knezihora.cz/" TargetMode="External"/><Relationship Id="rId40" Type="http://schemas.openxmlformats.org/officeDocument/2006/relationships/hyperlink" Target="https://flic.kr/s/aHskxpDXYq" TargetMode="External"/><Relationship Id="rId45" Type="http://schemas.openxmlformats.org/officeDocument/2006/relationships/hyperlink" Target="https://flic.kr/s/aHsm7dUpSW" TargetMode="External"/><Relationship Id="rId66" Type="http://schemas.openxmlformats.org/officeDocument/2006/relationships/hyperlink" Target="https://flic.kr/s/aHskug5bYx" TargetMode="External"/><Relationship Id="rId87" Type="http://schemas.openxmlformats.org/officeDocument/2006/relationships/hyperlink" Target="https://flic.kr/s/aHsm77caVW" TargetMode="External"/><Relationship Id="rId110" Type="http://schemas.openxmlformats.org/officeDocument/2006/relationships/hyperlink" Target="https://flic.kr/s/aHsmc3TaWd" TargetMode="External"/><Relationship Id="rId115" Type="http://schemas.openxmlformats.org/officeDocument/2006/relationships/hyperlink" Target="https://flic.kr/s/aHsm82PDcE" TargetMode="External"/><Relationship Id="rId131" Type="http://schemas.openxmlformats.org/officeDocument/2006/relationships/hyperlink" Target="https://flic.kr/s/aHsm8S1k7w" TargetMode="External"/><Relationship Id="rId136" Type="http://schemas.openxmlformats.org/officeDocument/2006/relationships/hyperlink" Target="https://flic.kr/s/aHsmd9Eya2" TargetMode="External"/><Relationship Id="rId157" Type="http://schemas.openxmlformats.org/officeDocument/2006/relationships/hyperlink" Target="https://flic.kr/s/aHsmgDktDc" TargetMode="External"/><Relationship Id="rId178" Type="http://schemas.openxmlformats.org/officeDocument/2006/relationships/hyperlink" Target="https://flic.kr/s/aHsmgDrpRR" TargetMode="External"/><Relationship Id="rId61" Type="http://schemas.openxmlformats.org/officeDocument/2006/relationships/hyperlink" Target="https://goo.gl/NVnYm1" TargetMode="External"/><Relationship Id="rId82" Type="http://schemas.openxmlformats.org/officeDocument/2006/relationships/hyperlink" Target="http://penzionandula.cz/pivovar" TargetMode="External"/><Relationship Id="rId152" Type="http://schemas.openxmlformats.org/officeDocument/2006/relationships/hyperlink" Target="https://flic.kr/s/aHsktGw3Ep" TargetMode="External"/><Relationship Id="rId173" Type="http://schemas.openxmlformats.org/officeDocument/2006/relationships/hyperlink" Target="https://flic.kr/s/aHsmfgWiNj" TargetMode="External"/><Relationship Id="rId194" Type="http://schemas.openxmlformats.org/officeDocument/2006/relationships/hyperlink" Target="http://www.pivovarchmelnice.cz/" TargetMode="External"/><Relationship Id="rId199" Type="http://schemas.openxmlformats.org/officeDocument/2006/relationships/hyperlink" Target="http://www.prdek.cz/" TargetMode="External"/><Relationship Id="rId203" Type="http://schemas.openxmlformats.org/officeDocument/2006/relationships/hyperlink" Target="https://www.facebook.com/torpivovar" TargetMode="External"/><Relationship Id="rId208" Type="http://schemas.openxmlformats.org/officeDocument/2006/relationships/hyperlink" Target="https://www.facebook.com/PivovarBechyneKeras" TargetMode="External"/><Relationship Id="rId229" Type="http://schemas.openxmlformats.org/officeDocument/2006/relationships/hyperlink" Target="https://flic.kr/s/aHsm7ZV951" TargetMode="External"/><Relationship Id="rId19" Type="http://schemas.openxmlformats.org/officeDocument/2006/relationships/hyperlink" Target="https://www.facebook.com/Pivovar-Chot%C4%9Bbo%C5%99-1627652154140904/" TargetMode="External"/><Relationship Id="rId224" Type="http://schemas.openxmlformats.org/officeDocument/2006/relationships/hyperlink" Target="https://goo.gl/i1bzzv" TargetMode="External"/><Relationship Id="rId240" Type="http://schemas.openxmlformats.org/officeDocument/2006/relationships/hyperlink" Target="https://kronl.cz/" TargetMode="External"/><Relationship Id="rId245" Type="http://schemas.openxmlformats.org/officeDocument/2006/relationships/hyperlink" Target="https://www.facebook.com/konickuvdvur" TargetMode="External"/><Relationship Id="rId261" Type="http://schemas.openxmlformats.org/officeDocument/2006/relationships/hyperlink" Target="https://goo.gl/8kEZpV" TargetMode="External"/><Relationship Id="rId14" Type="http://schemas.openxmlformats.org/officeDocument/2006/relationships/hyperlink" Target="https://flic.kr/s/aHsmeCsPuG" TargetMode="External"/><Relationship Id="rId30" Type="http://schemas.openxmlformats.org/officeDocument/2006/relationships/hyperlink" Target="https://flic.kr/s/aHskvKMS9Z" TargetMode="External"/><Relationship Id="rId35" Type="http://schemas.openxmlformats.org/officeDocument/2006/relationships/hyperlink" Target="https://flic.kr/s/aHsmdYs574" TargetMode="External"/><Relationship Id="rId56" Type="http://schemas.openxmlformats.org/officeDocument/2006/relationships/hyperlink" Target="https://flic.kr/s/aHsmgFskDi" TargetMode="External"/><Relationship Id="rId77" Type="http://schemas.openxmlformats.org/officeDocument/2006/relationships/hyperlink" Target="https://www.facebook.com/klasternipivovarzeliv/" TargetMode="External"/><Relationship Id="rId100" Type="http://schemas.openxmlformats.org/officeDocument/2006/relationships/hyperlink" Target="https://flic.kr/s/aHsmdhx74G" TargetMode="External"/><Relationship Id="rId105" Type="http://schemas.openxmlformats.org/officeDocument/2006/relationships/hyperlink" Target="https://flic.kr/s/aHsmh94Bgy" TargetMode="External"/><Relationship Id="rId126" Type="http://schemas.openxmlformats.org/officeDocument/2006/relationships/hyperlink" Target="https://flic.kr/s/aHsmdYue3r" TargetMode="External"/><Relationship Id="rId147" Type="http://schemas.openxmlformats.org/officeDocument/2006/relationships/hyperlink" Target="https://flic.kr/s/aHsmdLL1cB" TargetMode="External"/><Relationship Id="rId168" Type="http://schemas.openxmlformats.org/officeDocument/2006/relationships/hyperlink" Target="http://pivovarhluboka.cz/" TargetMode="External"/><Relationship Id="rId8" Type="http://schemas.openxmlformats.org/officeDocument/2006/relationships/hyperlink" Target="https://flic.kr/s/aHskui4PGn" TargetMode="External"/><Relationship Id="rId51" Type="http://schemas.openxmlformats.org/officeDocument/2006/relationships/hyperlink" Target="https://flic.kr/s/aHskvKNJx4" TargetMode="External"/><Relationship Id="rId72" Type="http://schemas.openxmlformats.org/officeDocument/2006/relationships/hyperlink" Target="https://flic.kr/s/aHsm7dWuKs" TargetMode="External"/><Relationship Id="rId93" Type="http://schemas.openxmlformats.org/officeDocument/2006/relationships/hyperlink" Target="https://flic.kr/s/aHsmhAcfSg" TargetMode="External"/><Relationship Id="rId98" Type="http://schemas.openxmlformats.org/officeDocument/2006/relationships/hyperlink" Target="https://flic.kr/s/aHsmb9zn91" TargetMode="External"/><Relationship Id="rId121" Type="http://schemas.openxmlformats.org/officeDocument/2006/relationships/hyperlink" Target="https://www.facebook.com/minipivovardratenik" TargetMode="External"/><Relationship Id="rId142" Type="http://schemas.openxmlformats.org/officeDocument/2006/relationships/hyperlink" Target="https://flic.kr/s/aHsmfNuP2X" TargetMode="External"/><Relationship Id="rId163" Type="http://schemas.openxmlformats.org/officeDocument/2006/relationships/hyperlink" Target="https://flic.kr/s/aHsm78QCHU" TargetMode="External"/><Relationship Id="rId184" Type="http://schemas.openxmlformats.org/officeDocument/2006/relationships/hyperlink" Target="https://goo.gl/CSqNLR" TargetMode="External"/><Relationship Id="rId189" Type="http://schemas.openxmlformats.org/officeDocument/2006/relationships/hyperlink" Target="https://flic.kr/s/aHskwAuyt9" TargetMode="External"/><Relationship Id="rId219" Type="http://schemas.openxmlformats.org/officeDocument/2006/relationships/hyperlink" Target="https://www.pivovar-liban.cz/" TargetMode="External"/><Relationship Id="rId3" Type="http://schemas.openxmlformats.org/officeDocument/2006/relationships/hyperlink" Target="https://flic.kr/s/aHskur8MoZ" TargetMode="External"/><Relationship Id="rId214" Type="http://schemas.openxmlformats.org/officeDocument/2006/relationships/hyperlink" Target="https://goo.gl/pD9uy2" TargetMode="External"/><Relationship Id="rId230" Type="http://schemas.openxmlformats.org/officeDocument/2006/relationships/hyperlink" Target="http://www.ladronka.com/" TargetMode="External"/><Relationship Id="rId235" Type="http://schemas.openxmlformats.org/officeDocument/2006/relationships/hyperlink" Target="https://goo.gl/P1fGQC" TargetMode="External"/><Relationship Id="rId251" Type="http://schemas.openxmlformats.org/officeDocument/2006/relationships/hyperlink" Target="https://goo.gl/2kHNWr" TargetMode="External"/><Relationship Id="rId256" Type="http://schemas.openxmlformats.org/officeDocument/2006/relationships/hyperlink" Target="https://www.facebook.com/zevluvmlyn" TargetMode="External"/><Relationship Id="rId25" Type="http://schemas.openxmlformats.org/officeDocument/2006/relationships/hyperlink" Target="https://www.facebook.com/pivovarbzenec" TargetMode="External"/><Relationship Id="rId46" Type="http://schemas.openxmlformats.org/officeDocument/2006/relationships/hyperlink" Target="https://goo.gl/PE3jM2" TargetMode="External"/><Relationship Id="rId67" Type="http://schemas.openxmlformats.org/officeDocument/2006/relationships/hyperlink" Target="https://flic.kr/s/aHsmgXQ7jw" TargetMode="External"/><Relationship Id="rId116" Type="http://schemas.openxmlformats.org/officeDocument/2006/relationships/hyperlink" Target="https://flic.kr/s/aHsmfxHJmp" TargetMode="External"/><Relationship Id="rId137" Type="http://schemas.openxmlformats.org/officeDocument/2006/relationships/hyperlink" Target="https://flic.kr/s/aHsmfNrC4v" TargetMode="External"/><Relationship Id="rId158" Type="http://schemas.openxmlformats.org/officeDocument/2006/relationships/hyperlink" Target="https://www.facebook.com/Berko-1627199740859035" TargetMode="External"/><Relationship Id="rId20" Type="http://schemas.openxmlformats.org/officeDocument/2006/relationships/hyperlink" Target="https://www.facebook.com/pivovarskydvur.cz" TargetMode="External"/><Relationship Id="rId41" Type="http://schemas.openxmlformats.org/officeDocument/2006/relationships/hyperlink" Target="http://www.pivovar-vysokychlumec.cz/" TargetMode="External"/><Relationship Id="rId62" Type="http://schemas.openxmlformats.org/officeDocument/2006/relationships/hyperlink" Target="https://flic.kr/s/aHsm817TgE" TargetMode="External"/><Relationship Id="rId83" Type="http://schemas.openxmlformats.org/officeDocument/2006/relationships/hyperlink" Target="https://flic.kr/s/aHsmgrJtxA" TargetMode="External"/><Relationship Id="rId88" Type="http://schemas.openxmlformats.org/officeDocument/2006/relationships/hyperlink" Target="https://flic.kr/s/aHsmc27Aes" TargetMode="External"/><Relationship Id="rId111" Type="http://schemas.openxmlformats.org/officeDocument/2006/relationships/hyperlink" Target="https://flic.kr/s/aHsmdf9voL" TargetMode="External"/><Relationship Id="rId132" Type="http://schemas.openxmlformats.org/officeDocument/2006/relationships/hyperlink" Target="https://flic.kr/s/aHskuioq6M" TargetMode="External"/><Relationship Id="rId153" Type="http://schemas.openxmlformats.org/officeDocument/2006/relationships/hyperlink" Target="https://flic.kr/s/aHsmeQPekf" TargetMode="External"/><Relationship Id="rId174" Type="http://schemas.openxmlformats.org/officeDocument/2006/relationships/hyperlink" Target="https://www.facebook.com/pivovar.transformator" TargetMode="External"/><Relationship Id="rId179" Type="http://schemas.openxmlformats.org/officeDocument/2006/relationships/hyperlink" Target="https://flic.kr/s/aHsm82gT8E" TargetMode="External"/><Relationship Id="rId195" Type="http://schemas.openxmlformats.org/officeDocument/2006/relationships/hyperlink" Target="https://flic.kr/s/aHsmc7yutA" TargetMode="External"/><Relationship Id="rId209" Type="http://schemas.openxmlformats.org/officeDocument/2006/relationships/hyperlink" Target="https://goo.gl/8zaUT6" TargetMode="External"/><Relationship Id="rId190" Type="http://schemas.openxmlformats.org/officeDocument/2006/relationships/hyperlink" Target="https://flic.kr/s/aHsmgCSYUv" TargetMode="External"/><Relationship Id="rId204" Type="http://schemas.openxmlformats.org/officeDocument/2006/relationships/hyperlink" Target="https://flic.kr/s/aHsmb6gryC" TargetMode="External"/><Relationship Id="rId220" Type="http://schemas.openxmlformats.org/officeDocument/2006/relationships/hyperlink" Target="https://goo.gl/i8LWMg" TargetMode="External"/><Relationship Id="rId225" Type="http://schemas.openxmlformats.org/officeDocument/2006/relationships/hyperlink" Target="http://www.cobolis.cz/" TargetMode="External"/><Relationship Id="rId241" Type="http://schemas.openxmlformats.org/officeDocument/2006/relationships/hyperlink" Target="https://goo.gl/ZuPwb5" TargetMode="External"/><Relationship Id="rId246" Type="http://schemas.openxmlformats.org/officeDocument/2006/relationships/hyperlink" Target="https://goo.gl/7hm2Kh" TargetMode="External"/><Relationship Id="rId15" Type="http://schemas.openxmlformats.org/officeDocument/2006/relationships/hyperlink" Target="https://goo.gl/8E75Ph" TargetMode="External"/><Relationship Id="rId36" Type="http://schemas.openxmlformats.org/officeDocument/2006/relationships/hyperlink" Target="http://www.minipivovarkrmelin.cz/" TargetMode="External"/><Relationship Id="rId57" Type="http://schemas.openxmlformats.org/officeDocument/2006/relationships/hyperlink" Target="https://flic.kr/s/aHsmc3WS6A" TargetMode="External"/><Relationship Id="rId106" Type="http://schemas.openxmlformats.org/officeDocument/2006/relationships/hyperlink" Target="https://flic.kr/s/aHsmhZenkz" TargetMode="External"/><Relationship Id="rId127" Type="http://schemas.openxmlformats.org/officeDocument/2006/relationships/hyperlink" Target="https://flic.kr/s/aHsmbqzYBE" TargetMode="External"/><Relationship Id="rId262" Type="http://schemas.openxmlformats.org/officeDocument/2006/relationships/hyperlink" Target="https://www.facebook.com/ossegg.praha" TargetMode="External"/><Relationship Id="rId10" Type="http://schemas.openxmlformats.org/officeDocument/2006/relationships/hyperlink" Target="https://goo.gl/NyXAcH" TargetMode="External"/><Relationship Id="rId31" Type="http://schemas.openxmlformats.org/officeDocument/2006/relationships/hyperlink" Target="https://flic.kr/s/aHsmfxpyUp" TargetMode="External"/><Relationship Id="rId52" Type="http://schemas.openxmlformats.org/officeDocument/2006/relationships/hyperlink" Target="https://www.facebook.com/PivovarProtivin" TargetMode="External"/><Relationship Id="rId73" Type="http://schemas.openxmlformats.org/officeDocument/2006/relationships/hyperlink" Target="https://www.facebook.com/pivovarmalenovice" TargetMode="External"/><Relationship Id="rId78" Type="http://schemas.openxmlformats.org/officeDocument/2006/relationships/hyperlink" Target="https://flic.kr/s/aHsmhA4YNg" TargetMode="External"/><Relationship Id="rId94" Type="http://schemas.openxmlformats.org/officeDocument/2006/relationships/hyperlink" Target="https://flic.kr/s/aHsmh7QJMY" TargetMode="External"/><Relationship Id="rId99" Type="http://schemas.openxmlformats.org/officeDocument/2006/relationships/hyperlink" Target="https://goo.gl/tJScU2" TargetMode="External"/><Relationship Id="rId101" Type="http://schemas.openxmlformats.org/officeDocument/2006/relationships/hyperlink" Target="https://flic.kr/s/aHskwAz5Vy" TargetMode="External"/><Relationship Id="rId122" Type="http://schemas.openxmlformats.org/officeDocument/2006/relationships/hyperlink" Target="https://flic.kr/s/aHsmb9CEVs" TargetMode="External"/><Relationship Id="rId143" Type="http://schemas.openxmlformats.org/officeDocument/2006/relationships/hyperlink" Target="https://flic.kr/s/aHsmd4WfnB" TargetMode="External"/><Relationship Id="rId148" Type="http://schemas.openxmlformats.org/officeDocument/2006/relationships/hyperlink" Target="https://flic.kr/s/aHsmfwZhns" TargetMode="External"/><Relationship Id="rId164" Type="http://schemas.openxmlformats.org/officeDocument/2006/relationships/hyperlink" Target="https://flic.kr/s/aHsmfHmFut" TargetMode="External"/><Relationship Id="rId169" Type="http://schemas.openxmlformats.org/officeDocument/2006/relationships/hyperlink" Target="https://www.pivovarogar.cz/" TargetMode="External"/><Relationship Id="rId185" Type="http://schemas.openxmlformats.org/officeDocument/2006/relationships/hyperlink" Target="https://flic.kr/s/aHsmfNr5Xn" TargetMode="External"/><Relationship Id="rId4" Type="http://schemas.openxmlformats.org/officeDocument/2006/relationships/hyperlink" Target="https://flic.kr/s/aHsmgXPk2s" TargetMode="External"/><Relationship Id="rId9" Type="http://schemas.openxmlformats.org/officeDocument/2006/relationships/hyperlink" Target="https://flic.kr/s/aHsmb9Hj6G" TargetMode="External"/><Relationship Id="rId180" Type="http://schemas.openxmlformats.org/officeDocument/2006/relationships/hyperlink" Target="http://pivovarknajzl.cz/" TargetMode="External"/><Relationship Id="rId210" Type="http://schemas.openxmlformats.org/officeDocument/2006/relationships/hyperlink" Target="http://www.pivo-pivo.cz/nomad" TargetMode="External"/><Relationship Id="rId215" Type="http://schemas.openxmlformats.org/officeDocument/2006/relationships/hyperlink" Target="https://flic.kr/s/aHsmcFej3s" TargetMode="External"/><Relationship Id="rId236" Type="http://schemas.openxmlformats.org/officeDocument/2006/relationships/hyperlink" Target="http://pivovarspojovna.cz/" TargetMode="External"/><Relationship Id="rId257" Type="http://schemas.openxmlformats.org/officeDocument/2006/relationships/hyperlink" Target="https://goo.gl/1YEfcZ" TargetMode="External"/><Relationship Id="rId26" Type="http://schemas.openxmlformats.org/officeDocument/2006/relationships/hyperlink" Target="http://www.knezinek.cz/" TargetMode="External"/><Relationship Id="rId231" Type="http://schemas.openxmlformats.org/officeDocument/2006/relationships/hyperlink" Target="https://www.facebook.com/officialusedlostladronka" TargetMode="External"/><Relationship Id="rId252" Type="http://schemas.openxmlformats.org/officeDocument/2006/relationships/hyperlink" Target="http://www.pivovarnovabystrice.cz/" TargetMode="External"/><Relationship Id="rId47" Type="http://schemas.openxmlformats.org/officeDocument/2006/relationships/hyperlink" Target="https://flic.kr/s/aHsmfg97FD" TargetMode="External"/><Relationship Id="rId68" Type="http://schemas.openxmlformats.org/officeDocument/2006/relationships/hyperlink" Target="https://goo.gl/ZeQCa8" TargetMode="External"/><Relationship Id="rId89" Type="http://schemas.openxmlformats.org/officeDocument/2006/relationships/hyperlink" Target="https://flic.kr/s/aHsmgDrcCn" TargetMode="External"/><Relationship Id="rId112" Type="http://schemas.openxmlformats.org/officeDocument/2006/relationships/hyperlink" Target="https://flic.kr/s/aHskxpxfGQ" TargetMode="External"/><Relationship Id="rId133" Type="http://schemas.openxmlformats.org/officeDocument/2006/relationships/hyperlink" Target="https://flic.kr/s/aHsmdLEUUx" TargetMode="External"/><Relationship Id="rId154" Type="http://schemas.openxmlformats.org/officeDocument/2006/relationships/hyperlink" Target="https://flic.kr/s/aHsmgwGC6c" TargetMode="External"/><Relationship Id="rId175" Type="http://schemas.openxmlformats.org/officeDocument/2006/relationships/hyperlink" Target="https://flic.kr/s/aHsmeQLtKd" TargetMode="External"/><Relationship Id="rId196" Type="http://schemas.openxmlformats.org/officeDocument/2006/relationships/hyperlink" Target="http://www.z-stage.cz/" TargetMode="External"/><Relationship Id="rId200" Type="http://schemas.openxmlformats.org/officeDocument/2006/relationships/hyperlink" Target="https://www.facebook.com/ChataPrdek" TargetMode="External"/><Relationship Id="rId16" Type="http://schemas.openxmlformats.org/officeDocument/2006/relationships/hyperlink" Target="https://goo.gl/SJxfWD" TargetMode="External"/><Relationship Id="rId221" Type="http://schemas.openxmlformats.org/officeDocument/2006/relationships/hyperlink" Target="https://flic.kr/s/aHsmiJgiZ4" TargetMode="External"/><Relationship Id="rId242" Type="http://schemas.openxmlformats.org/officeDocument/2006/relationships/hyperlink" Target="https://www.pivovarkujebak.cz/" TargetMode="External"/><Relationship Id="rId263" Type="http://schemas.openxmlformats.org/officeDocument/2006/relationships/hyperlink" Target="https://goo.gl/NT4Bc8" TargetMode="External"/><Relationship Id="rId37" Type="http://schemas.openxmlformats.org/officeDocument/2006/relationships/hyperlink" Target="https://flic.kr/s/aHsmfw3RqG" TargetMode="External"/><Relationship Id="rId58" Type="http://schemas.openxmlformats.org/officeDocument/2006/relationships/hyperlink" Target="https://flic.kr/s/aHskug9tVa" TargetMode="External"/><Relationship Id="rId79" Type="http://schemas.openxmlformats.org/officeDocument/2006/relationships/hyperlink" Target="https://flic.kr/s/aHsmeCPhfA" TargetMode="External"/><Relationship Id="rId102" Type="http://schemas.openxmlformats.org/officeDocument/2006/relationships/hyperlink" Target="https://flic.kr/s/aHsmfU4ofX" TargetMode="External"/><Relationship Id="rId123" Type="http://schemas.openxmlformats.org/officeDocument/2006/relationships/hyperlink" Target="https://flic.kr/s/aHskwvBCm5" TargetMode="External"/><Relationship Id="rId144" Type="http://schemas.openxmlformats.org/officeDocument/2006/relationships/hyperlink" Target="https://flic.kr/s/aHsmftMueq" TargetMode="External"/><Relationship Id="rId90" Type="http://schemas.openxmlformats.org/officeDocument/2006/relationships/hyperlink" Target="https://flic.kr/s/aHsmda8ZZp" TargetMode="External"/><Relationship Id="rId165" Type="http://schemas.openxmlformats.org/officeDocument/2006/relationships/hyperlink" Target="https://flic.kr/s/aHskwMknb1" TargetMode="External"/><Relationship Id="rId186" Type="http://schemas.openxmlformats.org/officeDocument/2006/relationships/hyperlink" Target="http://www.pivovar-trojan.cz/" TargetMode="External"/><Relationship Id="rId211" Type="http://schemas.openxmlformats.org/officeDocument/2006/relationships/hyperlink" Target="https://flic.kr/s/aHsm75xQNh" TargetMode="External"/><Relationship Id="rId232" Type="http://schemas.openxmlformats.org/officeDocument/2006/relationships/hyperlink" Target="https://goo.gl/ajPjY8" TargetMode="External"/><Relationship Id="rId253" Type="http://schemas.openxmlformats.org/officeDocument/2006/relationships/hyperlink" Target="https://www.facebook.com/pivovarnovabystrice" TargetMode="External"/><Relationship Id="rId27" Type="http://schemas.openxmlformats.org/officeDocument/2006/relationships/hyperlink" Target="https://www.facebook.com/U-Dvou-ko%C4%8Dek-1042365925814357" TargetMode="External"/><Relationship Id="rId48" Type="http://schemas.openxmlformats.org/officeDocument/2006/relationships/hyperlink" Target="https://flic.kr/s/aHsmd4NrxP" TargetMode="External"/><Relationship Id="rId69" Type="http://schemas.openxmlformats.org/officeDocument/2006/relationships/hyperlink" Target="https://www.facebook.com/pages/Pivovar-Viktor/294949220654373" TargetMode="External"/><Relationship Id="rId113" Type="http://schemas.openxmlformats.org/officeDocument/2006/relationships/hyperlink" Target="https://flic.kr/s/aHsmfNwMBP" TargetMode="External"/><Relationship Id="rId134" Type="http://schemas.openxmlformats.org/officeDocument/2006/relationships/hyperlink" Target="https://flic.kr/s/aHsme9DHP6" TargetMode="External"/><Relationship Id="rId80" Type="http://schemas.openxmlformats.org/officeDocument/2006/relationships/hyperlink" Target="https://flic.kr/s/aHsmgQ2j1p" TargetMode="External"/><Relationship Id="rId155" Type="http://schemas.openxmlformats.org/officeDocument/2006/relationships/hyperlink" Target="https://flic.kr/s/aHsmhBQxG8" TargetMode="External"/><Relationship Id="rId176" Type="http://schemas.openxmlformats.org/officeDocument/2006/relationships/hyperlink" Target="https://flic.kr/s/aHsm7ZV951" TargetMode="External"/><Relationship Id="rId197" Type="http://schemas.openxmlformats.org/officeDocument/2006/relationships/hyperlink" Target="https://www.facebook.com/Hrochpub" TargetMode="External"/><Relationship Id="rId201" Type="http://schemas.openxmlformats.org/officeDocument/2006/relationships/hyperlink" Target="https://goo.gl/Du1rRG" TargetMode="External"/><Relationship Id="rId222" Type="http://schemas.openxmlformats.org/officeDocument/2006/relationships/hyperlink" Target="http://www.pivovarreporyje.cz/" TargetMode="External"/><Relationship Id="rId243" Type="http://schemas.openxmlformats.org/officeDocument/2006/relationships/hyperlink" Target="https://goo.gl/ExeA6H" TargetMode="External"/><Relationship Id="rId264" Type="http://schemas.openxmlformats.org/officeDocument/2006/relationships/drawing" Target="../drawings/drawing2.xml"/><Relationship Id="rId17" Type="http://schemas.openxmlformats.org/officeDocument/2006/relationships/hyperlink" Target="https://flic.kr/s/aHsku9hoC2" TargetMode="External"/><Relationship Id="rId38" Type="http://schemas.openxmlformats.org/officeDocument/2006/relationships/hyperlink" Target="https://flic.kr/s/aHskxbcups" TargetMode="External"/><Relationship Id="rId59" Type="http://schemas.openxmlformats.org/officeDocument/2006/relationships/hyperlink" Target="https://flic.kr/s/aHskwAkvHN" TargetMode="External"/><Relationship Id="rId103" Type="http://schemas.openxmlformats.org/officeDocument/2006/relationships/hyperlink" Target="https://flic.kr/s/aHskxnFzZ3" TargetMode="External"/><Relationship Id="rId124" Type="http://schemas.openxmlformats.org/officeDocument/2006/relationships/hyperlink" Target="https://goo.gl/U2cZpB" TargetMode="External"/><Relationship Id="rId70" Type="http://schemas.openxmlformats.org/officeDocument/2006/relationships/hyperlink" Target="https://goo.gl/9az8PA" TargetMode="External"/><Relationship Id="rId91" Type="http://schemas.openxmlformats.org/officeDocument/2006/relationships/hyperlink" Target="https://goo.gl/gCpT4T" TargetMode="External"/><Relationship Id="rId145" Type="http://schemas.openxmlformats.org/officeDocument/2006/relationships/hyperlink" Target="https://flic.kr/s/aHskxbamwh" TargetMode="External"/><Relationship Id="rId166" Type="http://schemas.openxmlformats.org/officeDocument/2006/relationships/hyperlink" Target="https://flic.kr/s/aHsm82YZr9" TargetMode="External"/><Relationship Id="rId187" Type="http://schemas.openxmlformats.org/officeDocument/2006/relationships/hyperlink" Target="https://www.facebook.com/krasenskypivovar"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www.ukocouraolivera.cz/" TargetMode="External"/><Relationship Id="rId21" Type="http://schemas.openxmlformats.org/officeDocument/2006/relationships/hyperlink" Target="https://www.facebook.com/RadegastovnaULva" TargetMode="External"/><Relationship Id="rId42" Type="http://schemas.openxmlformats.org/officeDocument/2006/relationships/hyperlink" Target="https://www.facebook.com/pivniklubmodrahvezda" TargetMode="External"/><Relationship Id="rId47" Type="http://schemas.openxmlformats.org/officeDocument/2006/relationships/hyperlink" Target="https://goo.gl/88NF9e" TargetMode="External"/><Relationship Id="rId63" Type="http://schemas.openxmlformats.org/officeDocument/2006/relationships/hyperlink" Target="http://www.restauracehamburg.cz/" TargetMode="External"/><Relationship Id="rId68" Type="http://schemas.openxmlformats.org/officeDocument/2006/relationships/hyperlink" Target="http://www.sokolovna-restaurace.cz/" TargetMode="External"/><Relationship Id="rId84" Type="http://schemas.openxmlformats.org/officeDocument/2006/relationships/hyperlink" Target="http://www.uslunce30.webnode.cz/" TargetMode="External"/><Relationship Id="rId89" Type="http://schemas.openxmlformats.org/officeDocument/2006/relationships/hyperlink" Target="https://www.facebook.com/U-%C5%BD%C3%ADzniv%C3%BDho-Pup%C3%ADku-897781300390271" TargetMode="External"/><Relationship Id="rId2" Type="http://schemas.openxmlformats.org/officeDocument/2006/relationships/hyperlink" Target="http://www.azyl-pivnibar.cz/" TargetMode="External"/><Relationship Id="rId16" Type="http://schemas.openxmlformats.org/officeDocument/2006/relationships/hyperlink" Target="http://www.lesmoules.cz/" TargetMode="External"/><Relationship Id="rId29" Type="http://schemas.openxmlformats.org/officeDocument/2006/relationships/hyperlink" Target="http://www.zelenakocka.cz/" TargetMode="External"/><Relationship Id="rId107" Type="http://schemas.openxmlformats.org/officeDocument/2006/relationships/hyperlink" Target="https://www.facebook.com/radegastovnaaura" TargetMode="External"/><Relationship Id="rId11" Type="http://schemas.openxmlformats.org/officeDocument/2006/relationships/hyperlink" Target="http://www.fabar.cz/" TargetMode="External"/><Relationship Id="rId24" Type="http://schemas.openxmlformats.org/officeDocument/2006/relationships/hyperlink" Target="http://www.theimmigrant.cz/" TargetMode="External"/><Relationship Id="rId32" Type="http://schemas.openxmlformats.org/officeDocument/2006/relationships/hyperlink" Target="https://www.facebook.com/RetroPivnice" TargetMode="External"/><Relationship Id="rId37" Type="http://schemas.openxmlformats.org/officeDocument/2006/relationships/hyperlink" Target="https://www.facebook.com/vbrisevelryby" TargetMode="External"/><Relationship Id="rId40" Type="http://schemas.openxmlformats.org/officeDocument/2006/relationships/hyperlink" Target="https://goo.gl/Fhd5os" TargetMode="External"/><Relationship Id="rId45" Type="http://schemas.openxmlformats.org/officeDocument/2006/relationships/hyperlink" Target="http://www.baroquevedvore.cz/" TargetMode="External"/><Relationship Id="rId53" Type="http://schemas.openxmlformats.org/officeDocument/2006/relationships/hyperlink" Target="https://www.facebook.com/Bernardpubjeseniova" TargetMode="External"/><Relationship Id="rId58" Type="http://schemas.openxmlformats.org/officeDocument/2006/relationships/hyperlink" Target="https://www.facebook.com/Bernard-Bar-799288226907669" TargetMode="External"/><Relationship Id="rId66" Type="http://schemas.openxmlformats.org/officeDocument/2006/relationships/hyperlink" Target="https://www.oskar-neratovice.cz/" TargetMode="External"/><Relationship Id="rId74" Type="http://schemas.openxmlformats.org/officeDocument/2006/relationships/hyperlink" Target="https://www.facebook.com/Psikusypub" TargetMode="External"/><Relationship Id="rId79" Type="http://schemas.openxmlformats.org/officeDocument/2006/relationships/hyperlink" Target="http://www.ubytovani-lomnice.cz/" TargetMode="External"/><Relationship Id="rId87" Type="http://schemas.openxmlformats.org/officeDocument/2006/relationships/hyperlink" Target="https://www.facebook.com/pivniceubazenu" TargetMode="External"/><Relationship Id="rId102" Type="http://schemas.openxmlformats.org/officeDocument/2006/relationships/hyperlink" Target="http://www.restaurace-pizzerie-kavarna.com/grill_restaurant_pod_parohama" TargetMode="External"/><Relationship Id="rId5" Type="http://schemas.openxmlformats.org/officeDocument/2006/relationships/hyperlink" Target="http://www.bruxx.cz/" TargetMode="External"/><Relationship Id="rId61" Type="http://schemas.openxmlformats.org/officeDocument/2006/relationships/hyperlink" Target="http://druzstevnidum.com/" TargetMode="External"/><Relationship Id="rId82" Type="http://schemas.openxmlformats.org/officeDocument/2006/relationships/hyperlink" Target="https://goo.gl/evSDMa" TargetMode="External"/><Relationship Id="rId90" Type="http://schemas.openxmlformats.org/officeDocument/2006/relationships/hyperlink" Target="http://www.konickuv-dvur.cz/" TargetMode="External"/><Relationship Id="rId95" Type="http://schemas.openxmlformats.org/officeDocument/2006/relationships/hyperlink" Target="http://www.pivarium.cz/" TargetMode="External"/><Relationship Id="rId19" Type="http://schemas.openxmlformats.org/officeDocument/2006/relationships/hyperlink" Target="https://www.facebook.com/barmalyvelky" TargetMode="External"/><Relationship Id="rId14" Type="http://schemas.openxmlformats.org/officeDocument/2006/relationships/hyperlink" Target="http://www.jrclub.cz/" TargetMode="External"/><Relationship Id="rId22" Type="http://schemas.openxmlformats.org/officeDocument/2006/relationships/hyperlink" Target="http://www.radegastovna.cz/cheb" TargetMode="External"/><Relationship Id="rId27" Type="http://schemas.openxmlformats.org/officeDocument/2006/relationships/hyperlink" Target="http://www.ukozy.eu/" TargetMode="External"/><Relationship Id="rId30" Type="http://schemas.openxmlformats.org/officeDocument/2006/relationships/hyperlink" Target="http://www.sopa.cz/" TargetMode="External"/><Relationship Id="rId35" Type="http://schemas.openxmlformats.org/officeDocument/2006/relationships/hyperlink" Target="https://www.facebook.com/Stracenapub2" TargetMode="External"/><Relationship Id="rId43" Type="http://schemas.openxmlformats.org/officeDocument/2006/relationships/hyperlink" Target="https://www.brevnov.cz/cs/klasterni-sypka" TargetMode="External"/><Relationship Id="rId48" Type="http://schemas.openxmlformats.org/officeDocument/2006/relationships/hyperlink" Target="https://www.bernardpub.cz/pub/cesta-casem" TargetMode="External"/><Relationship Id="rId56" Type="http://schemas.openxmlformats.org/officeDocument/2006/relationships/hyperlink" Target="https://www.facebook.com/bernardpubujezera" TargetMode="External"/><Relationship Id="rId64" Type="http://schemas.openxmlformats.org/officeDocument/2006/relationships/hyperlink" Target="http://www.restauracejiskra.cz/" TargetMode="External"/><Relationship Id="rId69" Type="http://schemas.openxmlformats.org/officeDocument/2006/relationships/hyperlink" Target="https://www.facebook.com/restauracesokolovnastrakonice" TargetMode="External"/><Relationship Id="rId77" Type="http://schemas.openxmlformats.org/officeDocument/2006/relationships/hyperlink" Target="https://goo.gl/pbDx2t" TargetMode="External"/><Relationship Id="rId100" Type="http://schemas.openxmlformats.org/officeDocument/2006/relationships/hyperlink" Target="https://goo.gl/TE8Tbj" TargetMode="External"/><Relationship Id="rId105" Type="http://schemas.openxmlformats.org/officeDocument/2006/relationships/hyperlink" Target="https://www.facebook.com/Starobelskysenk" TargetMode="External"/><Relationship Id="rId8" Type="http://schemas.openxmlformats.org/officeDocument/2006/relationships/hyperlink" Target="http://www.dnopytle.cz/" TargetMode="External"/><Relationship Id="rId51" Type="http://schemas.openxmlformats.org/officeDocument/2006/relationships/hyperlink" Target="https://www.facebook.com/bernardpubbruselska" TargetMode="External"/><Relationship Id="rId72" Type="http://schemas.openxmlformats.org/officeDocument/2006/relationships/hyperlink" Target="https://goo.gl/99E619" TargetMode="External"/><Relationship Id="rId80" Type="http://schemas.openxmlformats.org/officeDocument/2006/relationships/hyperlink" Target="https://goo.gl/5ZEGrG" TargetMode="External"/><Relationship Id="rId85" Type="http://schemas.openxmlformats.org/officeDocument/2006/relationships/hyperlink" Target="http://www.pivniceholba.cz/" TargetMode="External"/><Relationship Id="rId93" Type="http://schemas.openxmlformats.org/officeDocument/2006/relationships/hyperlink" Target="https://www.pivnirestaurace.cz/" TargetMode="External"/><Relationship Id="rId98" Type="http://schemas.openxmlformats.org/officeDocument/2006/relationships/hyperlink" Target="https://www.facebook.com/ouabeer" TargetMode="External"/><Relationship Id="rId3" Type="http://schemas.openxmlformats.org/officeDocument/2006/relationships/hyperlink" Target="http://babyloncafe.cz/" TargetMode="External"/><Relationship Id="rId12" Type="http://schemas.openxmlformats.org/officeDocument/2006/relationships/hyperlink" Target="http://www.hornackysenk.cz/" TargetMode="External"/><Relationship Id="rId17" Type="http://schemas.openxmlformats.org/officeDocument/2006/relationships/hyperlink" Target="https://flic.kr/s/aHsm9usi1E" TargetMode="External"/><Relationship Id="rId25" Type="http://schemas.openxmlformats.org/officeDocument/2006/relationships/hyperlink" Target="http://www.pivnisenk.cz/" TargetMode="External"/><Relationship Id="rId33" Type="http://schemas.openxmlformats.org/officeDocument/2006/relationships/hyperlink" Target="https://nadrazni-restaurace-u-welzla.webnode.cz/" TargetMode="External"/><Relationship Id="rId38" Type="http://schemas.openxmlformats.org/officeDocument/2006/relationships/hyperlink" Target="http://www.prdek.cz/" TargetMode="External"/><Relationship Id="rId46" Type="http://schemas.openxmlformats.org/officeDocument/2006/relationships/hyperlink" Target="https://www.facebook.com/vedvore.cz" TargetMode="External"/><Relationship Id="rId59" Type="http://schemas.openxmlformats.org/officeDocument/2006/relationships/hyperlink" Target="http://www.gambrinus.cz/srdcovka/u-drsnejch" TargetMode="External"/><Relationship Id="rId67" Type="http://schemas.openxmlformats.org/officeDocument/2006/relationships/hyperlink" Target="http://www.restauracepetpenez.cz/" TargetMode="External"/><Relationship Id="rId103" Type="http://schemas.openxmlformats.org/officeDocument/2006/relationships/hyperlink" Target="https://www.facebook.com/dostavnik.nafojtstvi.5" TargetMode="External"/><Relationship Id="rId108" Type="http://schemas.openxmlformats.org/officeDocument/2006/relationships/hyperlink" Target="https://www.campsrbsko.cz/" TargetMode="External"/><Relationship Id="rId20" Type="http://schemas.openxmlformats.org/officeDocument/2006/relationships/hyperlink" Target="http://www.radegastovna.cz/u-lva" TargetMode="External"/><Relationship Id="rId41" Type="http://schemas.openxmlformats.org/officeDocument/2006/relationships/hyperlink" Target="http://pivovarmodrahvezda.cz/pivni-klub-modra-hvezda" TargetMode="External"/><Relationship Id="rId54" Type="http://schemas.openxmlformats.org/officeDocument/2006/relationships/hyperlink" Target="https://www.bernardpub.cz/pub/u-bileho-lva" TargetMode="External"/><Relationship Id="rId62" Type="http://schemas.openxmlformats.org/officeDocument/2006/relationships/hyperlink" Target="https://www.facebook.com/Dru%C5%BEstevn%C3%AD-d%C5%AFm-404185043124717" TargetMode="External"/><Relationship Id="rId70" Type="http://schemas.openxmlformats.org/officeDocument/2006/relationships/hyperlink" Target="http://zalepsipivo.cz/" TargetMode="External"/><Relationship Id="rId75" Type="http://schemas.openxmlformats.org/officeDocument/2006/relationships/hyperlink" Target="http://restauracehasicarna.cz/" TargetMode="External"/><Relationship Id="rId83" Type="http://schemas.openxmlformats.org/officeDocument/2006/relationships/hyperlink" Target="http://www.cernykunhk.cz/" TargetMode="External"/><Relationship Id="rId88" Type="http://schemas.openxmlformats.org/officeDocument/2006/relationships/hyperlink" Target="https://goo.gl/6XooJB" TargetMode="External"/><Relationship Id="rId91" Type="http://schemas.openxmlformats.org/officeDocument/2006/relationships/hyperlink" Target="https://www.facebook.com/konickuvdvur" TargetMode="External"/><Relationship Id="rId96" Type="http://schemas.openxmlformats.org/officeDocument/2006/relationships/hyperlink" Target="https://www.facebook.com/pivarium.pivoteka.ns" TargetMode="External"/><Relationship Id="rId1" Type="http://schemas.openxmlformats.org/officeDocument/2006/relationships/hyperlink" Target="http://www.auxcafe.com/" TargetMode="External"/><Relationship Id="rId6" Type="http://schemas.openxmlformats.org/officeDocument/2006/relationships/hyperlink" Target="https://www.facebook.com/MagnetCafeBrno" TargetMode="External"/><Relationship Id="rId15" Type="http://schemas.openxmlformats.org/officeDocument/2006/relationships/hyperlink" Target="http://kozlovna-humpolec.xf.cz/" TargetMode="External"/><Relationship Id="rId23" Type="http://schemas.openxmlformats.org/officeDocument/2006/relationships/hyperlink" Target="https://www.facebook.com/RadegastovnaCH" TargetMode="External"/><Relationship Id="rId28" Type="http://schemas.openxmlformats.org/officeDocument/2006/relationships/hyperlink" Target="https://www.facebook.com/vycepnastojakaanglicka" TargetMode="External"/><Relationship Id="rId36" Type="http://schemas.openxmlformats.org/officeDocument/2006/relationships/hyperlink" Target="http://www.minipivovar-ujkovice.cz/kavarna-v-brise-velryby" TargetMode="External"/><Relationship Id="rId49" Type="http://schemas.openxmlformats.org/officeDocument/2006/relationships/hyperlink" Target="https://www.bernardpub.cz/pub/andel" TargetMode="External"/><Relationship Id="rId57" Type="http://schemas.openxmlformats.org/officeDocument/2006/relationships/hyperlink" Target="http://www.bernardbar.cz/bar/olomouc" TargetMode="External"/><Relationship Id="rId106" Type="http://schemas.openxmlformats.org/officeDocument/2006/relationships/hyperlink" Target="http://www.radegastovna.cz/aura" TargetMode="External"/><Relationship Id="rId10" Type="http://schemas.openxmlformats.org/officeDocument/2006/relationships/hyperlink" Target="https://goo.gl/kLdtoX" TargetMode="External"/><Relationship Id="rId31" Type="http://schemas.openxmlformats.org/officeDocument/2006/relationships/hyperlink" Target="http://www.goodbeerclub.cz/" TargetMode="External"/><Relationship Id="rId44" Type="http://schemas.openxmlformats.org/officeDocument/2006/relationships/hyperlink" Target="https://www.facebook.com/Brevnovskypivovar" TargetMode="External"/><Relationship Id="rId52" Type="http://schemas.openxmlformats.org/officeDocument/2006/relationships/hyperlink" Target="https://www.bernardpub.cz/pub/jeseniova" TargetMode="External"/><Relationship Id="rId60" Type="http://schemas.openxmlformats.org/officeDocument/2006/relationships/hyperlink" Target="https://www.facebook.com/srdcovkaudrsnejch" TargetMode="External"/><Relationship Id="rId65" Type="http://schemas.openxmlformats.org/officeDocument/2006/relationships/hyperlink" Target="https://www.facebook.com/Restaurace-Jiskra-727450370600026" TargetMode="External"/><Relationship Id="rId73" Type="http://schemas.openxmlformats.org/officeDocument/2006/relationships/hyperlink" Target="http://psikusy.pub/" TargetMode="External"/><Relationship Id="rId78" Type="http://schemas.openxmlformats.org/officeDocument/2006/relationships/hyperlink" Target="https://www.penzionmerklin.cz/" TargetMode="External"/><Relationship Id="rId81" Type="http://schemas.openxmlformats.org/officeDocument/2006/relationships/hyperlink" Target="https://www.facebook.com/minipivovaroskar" TargetMode="External"/><Relationship Id="rId86" Type="http://schemas.openxmlformats.org/officeDocument/2006/relationships/hyperlink" Target="http://www.pivniceubazenu.cz/" TargetMode="External"/><Relationship Id="rId94" Type="http://schemas.openxmlformats.org/officeDocument/2006/relationships/hyperlink" Target="https://www.facebook.com/PivniRestaurace" TargetMode="External"/><Relationship Id="rId99" Type="http://schemas.openxmlformats.org/officeDocument/2006/relationships/hyperlink" Target="https://www.facebook.com/stacirna" TargetMode="External"/><Relationship Id="rId101" Type="http://schemas.openxmlformats.org/officeDocument/2006/relationships/hyperlink" Target="https://www.facebook.com/burgerzelva" TargetMode="External"/><Relationship Id="rId4" Type="http://schemas.openxmlformats.org/officeDocument/2006/relationships/hyperlink" Target="http://www.batalionudraku.cz/" TargetMode="External"/><Relationship Id="rId9" Type="http://schemas.openxmlformats.org/officeDocument/2006/relationships/hyperlink" Target="https://www.facebook.com/pivnicedobrepivo" TargetMode="External"/><Relationship Id="rId13" Type="http://schemas.openxmlformats.org/officeDocument/2006/relationships/hyperlink" Target="http://www.barchyse.cz/" TargetMode="External"/><Relationship Id="rId18" Type="http://schemas.openxmlformats.org/officeDocument/2006/relationships/hyperlink" Target="http://www.malyvelky.cz/" TargetMode="External"/><Relationship Id="rId39" Type="http://schemas.openxmlformats.org/officeDocument/2006/relationships/hyperlink" Target="https://www.facebook.com/ChataPrdek" TargetMode="External"/><Relationship Id="rId109" Type="http://schemas.openxmlformats.org/officeDocument/2006/relationships/hyperlink" Target="https://goo.gl/2kHNWr" TargetMode="External"/><Relationship Id="rId34" Type="http://schemas.openxmlformats.org/officeDocument/2006/relationships/hyperlink" Target="http://pustkovec.stracenapub.cz/" TargetMode="External"/><Relationship Id="rId50" Type="http://schemas.openxmlformats.org/officeDocument/2006/relationships/hyperlink" Target="https://www.bernardpub.cz/pub/bruselska" TargetMode="External"/><Relationship Id="rId55" Type="http://schemas.openxmlformats.org/officeDocument/2006/relationships/hyperlink" Target="https://www.bernardpub.cz/pub/u-jezera" TargetMode="External"/><Relationship Id="rId76" Type="http://schemas.openxmlformats.org/officeDocument/2006/relationships/hyperlink" Target="https://www.facebook.com/Restaurace-Hasi%C4%8D%C3%A1rna-Firehouse-PUB-185032112081303" TargetMode="External"/><Relationship Id="rId97" Type="http://schemas.openxmlformats.org/officeDocument/2006/relationships/hyperlink" Target="https://www.facebook.com/pohostinstviukavaliru" TargetMode="External"/><Relationship Id="rId104" Type="http://schemas.openxmlformats.org/officeDocument/2006/relationships/hyperlink" Target="https://starobelskysenk.metro.bar/" TargetMode="External"/><Relationship Id="rId7" Type="http://schemas.openxmlformats.org/officeDocument/2006/relationships/hyperlink" Target="http://www.dacicky.com/" TargetMode="External"/><Relationship Id="rId71" Type="http://schemas.openxmlformats.org/officeDocument/2006/relationships/hyperlink" Target="https://www.facebook.com/DobrePivoBrno" TargetMode="External"/><Relationship Id="rId92" Type="http://schemas.openxmlformats.org/officeDocument/2006/relationships/hyperlink" Target="https://www.facebook.com/Domino-Bar-286834001441459"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oo.gl/WTHf5g" TargetMode="External"/><Relationship Id="rId117" Type="http://schemas.openxmlformats.org/officeDocument/2006/relationships/hyperlink" Target="https://goo.gl/GeZo3E" TargetMode="External"/><Relationship Id="rId21" Type="http://schemas.openxmlformats.org/officeDocument/2006/relationships/hyperlink" Target="https://flic.kr/s/aHskyne3Qx" TargetMode="External"/><Relationship Id="rId42" Type="http://schemas.openxmlformats.org/officeDocument/2006/relationships/hyperlink" Target="https://goo.gl/S3jEFT" TargetMode="External"/><Relationship Id="rId47" Type="http://schemas.openxmlformats.org/officeDocument/2006/relationships/hyperlink" Target="https://flic.kr/s/aHsmipoXaX" TargetMode="External"/><Relationship Id="rId63" Type="http://schemas.openxmlformats.org/officeDocument/2006/relationships/hyperlink" Target="https://flic.kr/s/aHskwvDsoW" TargetMode="External"/><Relationship Id="rId68" Type="http://schemas.openxmlformats.org/officeDocument/2006/relationships/hyperlink" Target="http://www.labietis.lv/" TargetMode="External"/><Relationship Id="rId84" Type="http://schemas.openxmlformats.org/officeDocument/2006/relationships/hyperlink" Target="https://www.facebook.com/MinibrowarMajer" TargetMode="External"/><Relationship Id="rId89" Type="http://schemas.openxmlformats.org/officeDocument/2006/relationships/hyperlink" Target="https://goo.gl/h8pc17" TargetMode="External"/><Relationship Id="rId112" Type="http://schemas.openxmlformats.org/officeDocument/2006/relationships/hyperlink" Target="https://www.facebook.com/Browar-Rynek-443084285776906/" TargetMode="External"/><Relationship Id="rId133" Type="http://schemas.openxmlformats.org/officeDocument/2006/relationships/hyperlink" Target="https://goo.gl/UcHdQH" TargetMode="External"/><Relationship Id="rId138" Type="http://schemas.openxmlformats.org/officeDocument/2006/relationships/hyperlink" Target="https://flic.kr/s/aHsmc4iv77" TargetMode="External"/><Relationship Id="rId154" Type="http://schemas.openxmlformats.org/officeDocument/2006/relationships/hyperlink" Target="https://flic.kr/s/aHsmkomq9T" TargetMode="External"/><Relationship Id="rId159" Type="http://schemas.openxmlformats.org/officeDocument/2006/relationships/hyperlink" Target="https://vk.com/talerbeer" TargetMode="External"/><Relationship Id="rId170" Type="http://schemas.openxmlformats.org/officeDocument/2006/relationships/hyperlink" Target="https://goo.gl/kjb4m9" TargetMode="External"/><Relationship Id="rId16" Type="http://schemas.openxmlformats.org/officeDocument/2006/relationships/hyperlink" Target="https://goo.gl/hj4AMo" TargetMode="External"/><Relationship Id="rId107" Type="http://schemas.openxmlformats.org/officeDocument/2006/relationships/hyperlink" Target="https://flic.kr/s/aHsmfEHx8R" TargetMode="External"/><Relationship Id="rId11" Type="http://schemas.openxmlformats.org/officeDocument/2006/relationships/hyperlink" Target="http://brauerei.schmilka.de/" TargetMode="External"/><Relationship Id="rId32" Type="http://schemas.openxmlformats.org/officeDocument/2006/relationships/hyperlink" Target="https://www.facebook.com/fabrica.maravillas.madrid" TargetMode="External"/><Relationship Id="rId37" Type="http://schemas.openxmlformats.org/officeDocument/2006/relationships/hyperlink" Target="https://goo.gl/VTHrD9" TargetMode="External"/><Relationship Id="rId53" Type="http://schemas.openxmlformats.org/officeDocument/2006/relationships/hyperlink" Target="https://www.facebook.com/Browar.Staromiejski/" TargetMode="External"/><Relationship Id="rId58" Type="http://schemas.openxmlformats.org/officeDocument/2006/relationships/hyperlink" Target="https://goo.gl/Y53LTg" TargetMode="External"/><Relationship Id="rId74" Type="http://schemas.openxmlformats.org/officeDocument/2006/relationships/hyperlink" Target="https://flic.kr/s/aHsmdXvfZ7" TargetMode="External"/><Relationship Id="rId79" Type="http://schemas.openxmlformats.org/officeDocument/2006/relationships/hyperlink" Target="http://madbrewing.beer/" TargetMode="External"/><Relationship Id="rId102" Type="http://schemas.openxmlformats.org/officeDocument/2006/relationships/hyperlink" Target="https://goo.gl/K9S4nW" TargetMode="External"/><Relationship Id="rId123" Type="http://schemas.openxmlformats.org/officeDocument/2006/relationships/hyperlink" Target="http://www.stargorod.net/" TargetMode="External"/><Relationship Id="rId128" Type="http://schemas.openxmlformats.org/officeDocument/2006/relationships/hyperlink" Target="https://www.facebook.com/teatimebrewery/" TargetMode="External"/><Relationship Id="rId144" Type="http://schemas.openxmlformats.org/officeDocument/2006/relationships/hyperlink" Target="https://www.facebook.com/Watzke-am-Goldenen-Reiter-158640634163298" TargetMode="External"/><Relationship Id="rId149" Type="http://schemas.openxmlformats.org/officeDocument/2006/relationships/hyperlink" Target="https://goo.gl/ybW84e" TargetMode="External"/><Relationship Id="rId5" Type="http://schemas.openxmlformats.org/officeDocument/2006/relationships/hyperlink" Target="https://goo.gl/t93RgM" TargetMode="External"/><Relationship Id="rId90" Type="http://schemas.openxmlformats.org/officeDocument/2006/relationships/hyperlink" Target="https://flic.kr/s/aHskxmSoeo" TargetMode="External"/><Relationship Id="rId95" Type="http://schemas.openxmlformats.org/officeDocument/2006/relationships/hyperlink" Target="http://www.obermuehle-goerlitz.de/" TargetMode="External"/><Relationship Id="rId160" Type="http://schemas.openxmlformats.org/officeDocument/2006/relationships/hyperlink" Target="https://www.facebook.com/talerbeer" TargetMode="External"/><Relationship Id="rId165" Type="http://schemas.openxmlformats.org/officeDocument/2006/relationships/hyperlink" Target="https://goo.gl/kjb4m9" TargetMode="External"/><Relationship Id="rId22" Type="http://schemas.openxmlformats.org/officeDocument/2006/relationships/hyperlink" Target="https://goo.gl/vNcvGh" TargetMode="External"/><Relationship Id="rId27" Type="http://schemas.openxmlformats.org/officeDocument/2006/relationships/hyperlink" Target="https://flic.kr/s/aHskxmYB6J" TargetMode="External"/><Relationship Id="rId43" Type="http://schemas.openxmlformats.org/officeDocument/2006/relationships/hyperlink" Target="https://flic.kr/s/aHsmfBEmmV" TargetMode="External"/><Relationship Id="rId48" Type="http://schemas.openxmlformats.org/officeDocument/2006/relationships/hyperlink" Target="http://gulvisa.virtual.ua/" TargetMode="External"/><Relationship Id="rId64" Type="http://schemas.openxmlformats.org/officeDocument/2006/relationships/hyperlink" Target="http://kumpelgroup.com/restaurants/kumpel" TargetMode="External"/><Relationship Id="rId69" Type="http://schemas.openxmlformats.org/officeDocument/2006/relationships/hyperlink" Target="https://www.facebook.com/AlusDarbnicaLabietis" TargetMode="External"/><Relationship Id="rId113" Type="http://schemas.openxmlformats.org/officeDocument/2006/relationships/hyperlink" Target="https://goo.gl/MKfuzG" TargetMode="External"/><Relationship Id="rId118" Type="http://schemas.openxmlformats.org/officeDocument/2006/relationships/hyperlink" Target="https://flic.kr/s/aHsmkRHe7i" TargetMode="External"/><Relationship Id="rId134" Type="http://schemas.openxmlformats.org/officeDocument/2006/relationships/hyperlink" Target="https://flic.kr/s/aHsktpaerP" TargetMode="External"/><Relationship Id="rId139" Type="http://schemas.openxmlformats.org/officeDocument/2006/relationships/hyperlink" Target="http://www.browarzamosc.pl/" TargetMode="External"/><Relationship Id="rId80" Type="http://schemas.openxmlformats.org/officeDocument/2006/relationships/hyperlink" Target="https://www.facebook.com/madbrewing" TargetMode="External"/><Relationship Id="rId85" Type="http://schemas.openxmlformats.org/officeDocument/2006/relationships/hyperlink" Target="https://goo.gl/cBTFmZ" TargetMode="External"/><Relationship Id="rId150" Type="http://schemas.openxmlformats.org/officeDocument/2006/relationships/hyperlink" Target="https://flic.kr/s/aHskyqmkex" TargetMode="External"/><Relationship Id="rId155" Type="http://schemas.openxmlformats.org/officeDocument/2006/relationships/hyperlink" Target="https://druzya.by/" TargetMode="External"/><Relationship Id="rId171" Type="http://schemas.openxmlformats.org/officeDocument/2006/relationships/hyperlink" Target="https://flic.kr/s/aHsmkJVF8e" TargetMode="External"/><Relationship Id="rId12" Type="http://schemas.openxmlformats.org/officeDocument/2006/relationships/hyperlink" Target="https://goo.gl/jR9hcL" TargetMode="External"/><Relationship Id="rId17" Type="http://schemas.openxmlformats.org/officeDocument/2006/relationships/hyperlink" Target="https://flic.kr/s/aHsmiJFEyH" TargetMode="External"/><Relationship Id="rId33" Type="http://schemas.openxmlformats.org/officeDocument/2006/relationships/hyperlink" Target="https://goo.gl/y44fJH" TargetMode="External"/><Relationship Id="rId38" Type="http://schemas.openxmlformats.org/officeDocument/2006/relationships/hyperlink" Target="https://flic.kr/s/aHskBqR7jy" TargetMode="External"/><Relationship Id="rId59" Type="http://schemas.openxmlformats.org/officeDocument/2006/relationships/hyperlink" Target="https://flic.kr/s/aHsmjVcLgW" TargetMode="External"/><Relationship Id="rId103" Type="http://schemas.openxmlformats.org/officeDocument/2006/relationships/hyperlink" Target="https://flic.kr/s/aHskvUfj32" TargetMode="External"/><Relationship Id="rId108" Type="http://schemas.openxmlformats.org/officeDocument/2006/relationships/hyperlink" Target="http://reden.ontap.pl/" TargetMode="External"/><Relationship Id="rId124" Type="http://schemas.openxmlformats.org/officeDocument/2006/relationships/hyperlink" Target="https://www.facebook.com/rigastargorod" TargetMode="External"/><Relationship Id="rId129" Type="http://schemas.openxmlformats.org/officeDocument/2006/relationships/hyperlink" Target="https://goo.gl/AK4yRu" TargetMode="External"/><Relationship Id="rId54" Type="http://schemas.openxmlformats.org/officeDocument/2006/relationships/hyperlink" Target="https://goo.gl/6nrTCi" TargetMode="External"/><Relationship Id="rId70" Type="http://schemas.openxmlformats.org/officeDocument/2006/relationships/hyperlink" Target="https://goo.gl/jz3oBJ" TargetMode="External"/><Relationship Id="rId75" Type="http://schemas.openxmlformats.org/officeDocument/2006/relationships/hyperlink" Target="http://www.hotel-lwow.pl/" TargetMode="External"/><Relationship Id="rId91" Type="http://schemas.openxmlformats.org/officeDocument/2006/relationships/hyperlink" Target="http://www.browarmiejski.pl/" TargetMode="External"/><Relationship Id="rId96" Type="http://schemas.openxmlformats.org/officeDocument/2006/relationships/hyperlink" Target="https://goo.gl/GhRrpE" TargetMode="External"/><Relationship Id="rId140" Type="http://schemas.openxmlformats.org/officeDocument/2006/relationships/hyperlink" Target="https://www.facebook.com/BrowarZamosc" TargetMode="External"/><Relationship Id="rId145" Type="http://schemas.openxmlformats.org/officeDocument/2006/relationships/hyperlink" Target="https://goo.gl/YLZmNc" TargetMode="External"/><Relationship Id="rId161" Type="http://schemas.openxmlformats.org/officeDocument/2006/relationships/hyperlink" Target="https://goo.gl/ydwPu4" TargetMode="External"/><Relationship Id="rId166" Type="http://schemas.openxmlformats.org/officeDocument/2006/relationships/hyperlink" Target="https://flic.kr/s/aHsmkJVF8e" TargetMode="External"/><Relationship Id="rId1" Type="http://schemas.openxmlformats.org/officeDocument/2006/relationships/hyperlink" Target="http://avilys.lt/" TargetMode="External"/><Relationship Id="rId6" Type="http://schemas.openxmlformats.org/officeDocument/2006/relationships/hyperlink" Target="https://flic.kr/s/aHskvPL4jK" TargetMode="External"/><Relationship Id="rId15" Type="http://schemas.openxmlformats.org/officeDocument/2006/relationships/hyperlink" Target="https://www.facebook.com/busitrecias" TargetMode="External"/><Relationship Id="rId23" Type="http://schemas.openxmlformats.org/officeDocument/2006/relationships/hyperlink" Target="https://flic.kr/s/aHsmg7TYMm" TargetMode="External"/><Relationship Id="rId28" Type="http://schemas.openxmlformats.org/officeDocument/2006/relationships/hyperlink" Target="http://www.pivovardrotar.sk/" TargetMode="External"/><Relationship Id="rId36" Type="http://schemas.openxmlformats.org/officeDocument/2006/relationships/hyperlink" Target="https://www.facebook.com/pivogolem" TargetMode="External"/><Relationship Id="rId49" Type="http://schemas.openxmlformats.org/officeDocument/2006/relationships/hyperlink" Target="https://vk.com/gulvisa" TargetMode="External"/><Relationship Id="rId57" Type="http://schemas.openxmlformats.org/officeDocument/2006/relationships/hyperlink" Target="https://www.facebook.com/Kaltenbergetterem" TargetMode="External"/><Relationship Id="rId106" Type="http://schemas.openxmlformats.org/officeDocument/2006/relationships/hyperlink" Target="https://goo.gl/zpuRgj" TargetMode="External"/><Relationship Id="rId114" Type="http://schemas.openxmlformats.org/officeDocument/2006/relationships/hyperlink" Target="https://flic.kr/s/aHsktpem6H" TargetMode="External"/><Relationship Id="rId119" Type="http://schemas.openxmlformats.org/officeDocument/2006/relationships/hyperlink" Target="http://www.stargorod.net/" TargetMode="External"/><Relationship Id="rId127" Type="http://schemas.openxmlformats.org/officeDocument/2006/relationships/hyperlink" Target="http://www.teatimebrewery.com/" TargetMode="External"/><Relationship Id="rId10" Type="http://schemas.openxmlformats.org/officeDocument/2006/relationships/hyperlink" Target="https://flic.kr/s/aHsm9WSZvy" TargetMode="External"/><Relationship Id="rId31" Type="http://schemas.openxmlformats.org/officeDocument/2006/relationships/hyperlink" Target="http://www.fmaravillas.com/" TargetMode="External"/><Relationship Id="rId44" Type="http://schemas.openxmlformats.org/officeDocument/2006/relationships/hyperlink" Target="http://www.groeninger-hamburg.de/" TargetMode="External"/><Relationship Id="rId52" Type="http://schemas.openxmlformats.org/officeDocument/2006/relationships/hyperlink" Target="http://browar-olbracht.pl/" TargetMode="External"/><Relationship Id="rId60" Type="http://schemas.openxmlformats.org/officeDocument/2006/relationships/hyperlink" Target="http://www.neuzeller-bier.de/" TargetMode="External"/><Relationship Id="rId65" Type="http://schemas.openxmlformats.org/officeDocument/2006/relationships/hyperlink" Target="https://www.facebook.com/kumpel.lviv" TargetMode="External"/><Relationship Id="rId73" Type="http://schemas.openxmlformats.org/officeDocument/2006/relationships/hyperlink" Target="https://goo.gl/GeXcxL" TargetMode="External"/><Relationship Id="rId78" Type="http://schemas.openxmlformats.org/officeDocument/2006/relationships/hyperlink" Target="https://flic.kr/s/aHsmimnNvH" TargetMode="External"/><Relationship Id="rId81" Type="http://schemas.openxmlformats.org/officeDocument/2006/relationships/hyperlink" Target="https://goo.gl/UngjGF" TargetMode="External"/><Relationship Id="rId86" Type="http://schemas.openxmlformats.org/officeDocument/2006/relationships/hyperlink" Target="https://flic.kr/s/aHsmkRQoUF" TargetMode="External"/><Relationship Id="rId94" Type="http://schemas.openxmlformats.org/officeDocument/2006/relationships/hyperlink" Target="https://flic.kr/s/aHsmb9F6U1" TargetMode="External"/><Relationship Id="rId99" Type="http://schemas.openxmlformats.org/officeDocument/2006/relationships/hyperlink" Target="https://www.facebook.com/PravdaLviv" TargetMode="External"/><Relationship Id="rId101" Type="http://schemas.openxmlformats.org/officeDocument/2006/relationships/hyperlink" Target="https://flic.kr/s/aHsm79cFUb" TargetMode="External"/><Relationship Id="rId122" Type="http://schemas.openxmlformats.org/officeDocument/2006/relationships/hyperlink" Target="https://flic.kr/s/aHsmexqNB3" TargetMode="External"/><Relationship Id="rId130" Type="http://schemas.openxmlformats.org/officeDocument/2006/relationships/hyperlink" Target="https://flic.kr/s/aHsmg4QFxq" TargetMode="External"/><Relationship Id="rId135" Type="http://schemas.openxmlformats.org/officeDocument/2006/relationships/hyperlink" Target="http://www.warzelniapiwa.pl/" TargetMode="External"/><Relationship Id="rId143" Type="http://schemas.openxmlformats.org/officeDocument/2006/relationships/hyperlink" Target="http://www.watzke.de/" TargetMode="External"/><Relationship Id="rId148" Type="http://schemas.openxmlformats.org/officeDocument/2006/relationships/hyperlink" Target="https://www.facebook.com/browarmia.krolewska" TargetMode="External"/><Relationship Id="rId151" Type="http://schemas.openxmlformats.org/officeDocument/2006/relationships/hyperlink" Target="http://www.beerhouse.by/" TargetMode="External"/><Relationship Id="rId156" Type="http://schemas.openxmlformats.org/officeDocument/2006/relationships/hyperlink" Target="https://www.facebook.com/DruzyaBrewery1" TargetMode="External"/><Relationship Id="rId164" Type="http://schemas.openxmlformats.org/officeDocument/2006/relationships/hyperlink" Target="https://www.facebook.com/BIERBANK" TargetMode="External"/><Relationship Id="rId169" Type="http://schemas.openxmlformats.org/officeDocument/2006/relationships/hyperlink" Target="https://flic.kr/s/aHsmk2G5fQ" TargetMode="External"/><Relationship Id="rId4" Type="http://schemas.openxmlformats.org/officeDocument/2006/relationships/hyperlink" Target="https://flic.kr/s/aHskvTLms8" TargetMode="External"/><Relationship Id="rId9" Type="http://schemas.openxmlformats.org/officeDocument/2006/relationships/hyperlink" Target="https://goo.gl/xup3ze" TargetMode="External"/><Relationship Id="rId172" Type="http://schemas.openxmlformats.org/officeDocument/2006/relationships/hyperlink" Target="https://www.facebook.com/korovagrill" TargetMode="External"/><Relationship Id="rId13" Type="http://schemas.openxmlformats.org/officeDocument/2006/relationships/hyperlink" Target="https://flic.kr/s/aHsmjYnr5G" TargetMode="External"/><Relationship Id="rId18" Type="http://schemas.openxmlformats.org/officeDocument/2006/relationships/hyperlink" Target="http://ckbrowar.pl/" TargetMode="External"/><Relationship Id="rId39" Type="http://schemas.openxmlformats.org/officeDocument/2006/relationships/hyperlink" Target="http://www.grodzka15.pl/" TargetMode="External"/><Relationship Id="rId109" Type="http://schemas.openxmlformats.org/officeDocument/2006/relationships/hyperlink" Target="https://www.facebook.com/MinibrowarReden/" TargetMode="External"/><Relationship Id="rId34" Type="http://schemas.openxmlformats.org/officeDocument/2006/relationships/hyperlink" Target="https://flic.kr/s/aHsmekQbLr" TargetMode="External"/><Relationship Id="rId50" Type="http://schemas.openxmlformats.org/officeDocument/2006/relationships/hyperlink" Target="https://goo.gl/8gs5Pj" TargetMode="External"/><Relationship Id="rId55" Type="http://schemas.openxmlformats.org/officeDocument/2006/relationships/hyperlink" Target="https://flic.kr/s/aHskyncxm4" TargetMode="External"/><Relationship Id="rId76" Type="http://schemas.openxmlformats.org/officeDocument/2006/relationships/hyperlink" Target="https://www.facebook.com/hotel.lwow.lublin" TargetMode="External"/><Relationship Id="rId97" Type="http://schemas.openxmlformats.org/officeDocument/2006/relationships/hyperlink" Target="https://flic.kr/s/aHskwvCNj9" TargetMode="External"/><Relationship Id="rId104" Type="http://schemas.openxmlformats.org/officeDocument/2006/relationships/hyperlink" Target="http://www.ratsherrn.de/" TargetMode="External"/><Relationship Id="rId120" Type="http://schemas.openxmlformats.org/officeDocument/2006/relationships/hyperlink" Target="https://www.facebook.com/stargorodlviv" TargetMode="External"/><Relationship Id="rId125" Type="http://schemas.openxmlformats.org/officeDocument/2006/relationships/hyperlink" Target="https://goo.gl/NqjRyX" TargetMode="External"/><Relationship Id="rId141" Type="http://schemas.openxmlformats.org/officeDocument/2006/relationships/hyperlink" Target="https://goo.gl/zav25b" TargetMode="External"/><Relationship Id="rId146" Type="http://schemas.openxmlformats.org/officeDocument/2006/relationships/hyperlink" Target="https://flic.kr/s/aHsmkXH45P" TargetMode="External"/><Relationship Id="rId167" Type="http://schemas.openxmlformats.org/officeDocument/2006/relationships/hyperlink" Target="https://www.facebook.com/Brasserie-420-189971481058018" TargetMode="External"/><Relationship Id="rId7" Type="http://schemas.openxmlformats.org/officeDocument/2006/relationships/hyperlink" Target="http://www.bierhaus.lv/" TargetMode="External"/><Relationship Id="rId71" Type="http://schemas.openxmlformats.org/officeDocument/2006/relationships/hyperlink" Target="https://flic.kr/s/aHsmiK2T2i" TargetMode="External"/><Relationship Id="rId92" Type="http://schemas.openxmlformats.org/officeDocument/2006/relationships/hyperlink" Target="https://www.facebook.com/minibrowar" TargetMode="External"/><Relationship Id="rId162" Type="http://schemas.openxmlformats.org/officeDocument/2006/relationships/hyperlink" Target="https://flic.kr/s/aHsmhK8BnV" TargetMode="External"/><Relationship Id="rId2" Type="http://schemas.openxmlformats.org/officeDocument/2006/relationships/hyperlink" Target="https://www.facebook.com/restoranasavilys" TargetMode="External"/><Relationship Id="rId29" Type="http://schemas.openxmlformats.org/officeDocument/2006/relationships/hyperlink" Target="https://goo.gl/ae9aAo" TargetMode="External"/><Relationship Id="rId24" Type="http://schemas.openxmlformats.org/officeDocument/2006/relationships/hyperlink" Target="http://www.czenstochovia.pl/" TargetMode="External"/><Relationship Id="rId40" Type="http://schemas.openxmlformats.org/officeDocument/2006/relationships/hyperlink" Target="https://www.facebook.com/BrowarGrodzka" TargetMode="External"/><Relationship Id="rId45" Type="http://schemas.openxmlformats.org/officeDocument/2006/relationships/hyperlink" Target="https://www.facebook.com/HHGroeninger" TargetMode="External"/><Relationship Id="rId66" Type="http://schemas.openxmlformats.org/officeDocument/2006/relationships/hyperlink" Target="https://goo.gl/1jL5yN" TargetMode="External"/><Relationship Id="rId87" Type="http://schemas.openxmlformats.org/officeDocument/2006/relationships/hyperlink" Target="http://browarmariacki.com.pl/" TargetMode="External"/><Relationship Id="rId110" Type="http://schemas.openxmlformats.org/officeDocument/2006/relationships/hyperlink" Target="https://goo.gl/ybBkFj" TargetMode="External"/><Relationship Id="rId115" Type="http://schemas.openxmlformats.org/officeDocument/2006/relationships/hyperlink" Target="http://spiz.pl/wroclaw" TargetMode="External"/><Relationship Id="rId131" Type="http://schemas.openxmlformats.org/officeDocument/2006/relationships/hyperlink" Target="https://www.hotel-ueckermuende.de/" TargetMode="External"/><Relationship Id="rId136" Type="http://schemas.openxmlformats.org/officeDocument/2006/relationships/hyperlink" Target="https://www.facebook.com/warzelniapiwa" TargetMode="External"/><Relationship Id="rId157" Type="http://schemas.openxmlformats.org/officeDocument/2006/relationships/hyperlink" Target="https://goo.gl/LfFZQd" TargetMode="External"/><Relationship Id="rId61" Type="http://schemas.openxmlformats.org/officeDocument/2006/relationships/hyperlink" Target="https://www.facebook.com/KlosterbrauereiNeuzelle/" TargetMode="External"/><Relationship Id="rId82" Type="http://schemas.openxmlformats.org/officeDocument/2006/relationships/hyperlink" Target="https://flic.kr/s/aHsmb4eU3A" TargetMode="External"/><Relationship Id="rId152" Type="http://schemas.openxmlformats.org/officeDocument/2006/relationships/hyperlink" Target="https://www.facebook.com/arbatminsk" TargetMode="External"/><Relationship Id="rId173" Type="http://schemas.openxmlformats.org/officeDocument/2006/relationships/hyperlink" Target="https://goo.gl/MXDVcM" TargetMode="External"/><Relationship Id="rId19" Type="http://schemas.openxmlformats.org/officeDocument/2006/relationships/hyperlink" Target="https://www.facebook.com/CKBrowar/" TargetMode="External"/><Relationship Id="rId14" Type="http://schemas.openxmlformats.org/officeDocument/2006/relationships/hyperlink" Target="http://busitrecias.lt/" TargetMode="External"/><Relationship Id="rId30" Type="http://schemas.openxmlformats.org/officeDocument/2006/relationships/hyperlink" Target="https://flic.kr/s/aHsmfxjBPT" TargetMode="External"/><Relationship Id="rId35" Type="http://schemas.openxmlformats.org/officeDocument/2006/relationships/hyperlink" Target="http://www.pivovargolem.sk/" TargetMode="External"/><Relationship Id="rId56" Type="http://schemas.openxmlformats.org/officeDocument/2006/relationships/hyperlink" Target="http://kaltenberg.hu/" TargetMode="External"/><Relationship Id="rId77" Type="http://schemas.openxmlformats.org/officeDocument/2006/relationships/hyperlink" Target="https://goo.gl/zfrTCU" TargetMode="External"/><Relationship Id="rId100" Type="http://schemas.openxmlformats.org/officeDocument/2006/relationships/hyperlink" Target="https://goo.gl/NpzTRC" TargetMode="External"/><Relationship Id="rId105" Type="http://schemas.openxmlformats.org/officeDocument/2006/relationships/hyperlink" Target="https://www.facebook.com/Ratsherrn" TargetMode="External"/><Relationship Id="rId126" Type="http://schemas.openxmlformats.org/officeDocument/2006/relationships/hyperlink" Target="https://flic.kr/s/aHsmdXJSw3" TargetMode="External"/><Relationship Id="rId147" Type="http://schemas.openxmlformats.org/officeDocument/2006/relationships/hyperlink" Target="http://www.browarmia.pl/" TargetMode="External"/><Relationship Id="rId168" Type="http://schemas.openxmlformats.org/officeDocument/2006/relationships/hyperlink" Target="https://goo.gl/TsK7Lr" TargetMode="External"/><Relationship Id="rId8" Type="http://schemas.openxmlformats.org/officeDocument/2006/relationships/hyperlink" Target="https://www.facebook.com/bierhaus.lv" TargetMode="External"/><Relationship Id="rId51" Type="http://schemas.openxmlformats.org/officeDocument/2006/relationships/hyperlink" Target="https://flic.kr/s/aHsmfnHwM5" TargetMode="External"/><Relationship Id="rId72" Type="http://schemas.openxmlformats.org/officeDocument/2006/relationships/hyperlink" Target="http://www.bambalyne.lt/leiciu-bravoras" TargetMode="External"/><Relationship Id="rId93" Type="http://schemas.openxmlformats.org/officeDocument/2006/relationships/hyperlink" Target="https://goo.gl/QD16v6" TargetMode="External"/><Relationship Id="rId98" Type="http://schemas.openxmlformats.org/officeDocument/2006/relationships/hyperlink" Target="http://www.pravda.beer/" TargetMode="External"/><Relationship Id="rId121" Type="http://schemas.openxmlformats.org/officeDocument/2006/relationships/hyperlink" Target="https://goo.gl/NqjRyX" TargetMode="External"/><Relationship Id="rId142" Type="http://schemas.openxmlformats.org/officeDocument/2006/relationships/hyperlink" Target="https://flic.kr/s/aHsmdzu4To" TargetMode="External"/><Relationship Id="rId163" Type="http://schemas.openxmlformats.org/officeDocument/2006/relationships/hyperlink" Target="http://www.bierbank.by/" TargetMode="External"/><Relationship Id="rId3" Type="http://schemas.openxmlformats.org/officeDocument/2006/relationships/hyperlink" Target="https://goo.gl/feix9z" TargetMode="External"/><Relationship Id="rId25" Type="http://schemas.openxmlformats.org/officeDocument/2006/relationships/hyperlink" Target="https://www.facebook.com/Browar-CzenstochoviA-101679786569941" TargetMode="External"/><Relationship Id="rId46" Type="http://schemas.openxmlformats.org/officeDocument/2006/relationships/hyperlink" Target="https://goo.gl/mU8zeZ" TargetMode="External"/><Relationship Id="rId67" Type="http://schemas.openxmlformats.org/officeDocument/2006/relationships/hyperlink" Target="https://flic.kr/s/aHskwvNxnL" TargetMode="External"/><Relationship Id="rId116" Type="http://schemas.openxmlformats.org/officeDocument/2006/relationships/hyperlink" Target="https://www.facebook.com/Spiz.Wroclaw/" TargetMode="External"/><Relationship Id="rId137" Type="http://schemas.openxmlformats.org/officeDocument/2006/relationships/hyperlink" Target="https://goo.gl/s5zobR" TargetMode="External"/><Relationship Id="rId158" Type="http://schemas.openxmlformats.org/officeDocument/2006/relationships/hyperlink" Target="https://flic.kr/s/aHskAY1GxN" TargetMode="External"/><Relationship Id="rId20" Type="http://schemas.openxmlformats.org/officeDocument/2006/relationships/hyperlink" Target="https://goo.gl/kHAKhG" TargetMode="External"/><Relationship Id="rId41" Type="http://schemas.openxmlformats.org/officeDocument/2006/relationships/hyperlink" Target="https://goo.gl/bmvKhY" TargetMode="External"/><Relationship Id="rId62" Type="http://schemas.openxmlformats.org/officeDocument/2006/relationships/hyperlink" Target="https://goo.gl/7ERi6s" TargetMode="External"/><Relationship Id="rId83" Type="http://schemas.openxmlformats.org/officeDocument/2006/relationships/hyperlink" Target="http://minibrowarmajer.pl/" TargetMode="External"/><Relationship Id="rId88" Type="http://schemas.openxmlformats.org/officeDocument/2006/relationships/hyperlink" Target="https://www.facebook.com/browarmariacki" TargetMode="External"/><Relationship Id="rId111" Type="http://schemas.openxmlformats.org/officeDocument/2006/relationships/hyperlink" Target="https://flic.kr/s/aHsmfu645b" TargetMode="External"/><Relationship Id="rId132" Type="http://schemas.openxmlformats.org/officeDocument/2006/relationships/hyperlink" Target="https://www.facebook.com/HotelamMarktBrauhausStadtkrug/" TargetMode="External"/><Relationship Id="rId153" Type="http://schemas.openxmlformats.org/officeDocument/2006/relationships/hyperlink" Target="https://goo.gl/h7237q" TargetMode="External"/><Relationship Id="rId174" Type="http://schemas.openxmlformats.org/officeDocument/2006/relationships/hyperlink" Target="https://flic.kr/s/aHsmkoLcX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123"/>
  <sheetViews>
    <sheetView tabSelected="1" workbookViewId="0">
      <pane ySplit="1" topLeftCell="A2" activePane="bottomLeft" state="frozen"/>
      <selection pane="bottomLeft" activeCell="A2" sqref="A2"/>
    </sheetView>
  </sheetViews>
  <sheetFormatPr defaultColWidth="14.42578125" defaultRowHeight="15" customHeight="1"/>
  <cols>
    <col min="1" max="1" width="14.85546875" customWidth="1"/>
    <col min="2" max="2" width="20" customWidth="1"/>
    <col min="3" max="3" width="20.42578125" customWidth="1"/>
    <col min="4" max="4" width="31.28515625" customWidth="1"/>
    <col min="5" max="5" width="32.28515625" customWidth="1"/>
    <col min="6" max="7" width="36.85546875" customWidth="1"/>
    <col min="8" max="8" width="43.28515625" customWidth="1"/>
    <col min="9" max="9" width="13.28515625" customWidth="1"/>
    <col min="10" max="10" width="39" customWidth="1"/>
    <col min="11" max="11" width="44.42578125" customWidth="1"/>
    <col min="12" max="12" width="21.42578125" customWidth="1"/>
    <col min="13" max="13" width="19.42578125" customWidth="1"/>
    <col min="14" max="14" width="7.5703125" customWidth="1"/>
    <col min="15" max="15" width="39" customWidth="1"/>
    <col min="16" max="16" width="30" customWidth="1"/>
    <col min="17" max="17" width="11.28515625" customWidth="1"/>
    <col min="18" max="18" width="10.7109375" customWidth="1"/>
    <col min="19" max="19" width="12.5703125" style="67" customWidth="1"/>
    <col min="20" max="24" width="22.5703125" customWidth="1"/>
  </cols>
  <sheetData>
    <row r="1" spans="1:24">
      <c r="A1" s="93" t="s">
        <v>7446</v>
      </c>
      <c r="B1" s="93" t="s">
        <v>1</v>
      </c>
      <c r="C1" s="93" t="s">
        <v>2</v>
      </c>
      <c r="D1" s="93" t="s">
        <v>3</v>
      </c>
      <c r="E1" s="93" t="s">
        <v>8014</v>
      </c>
      <c r="F1" s="93" t="s">
        <v>6</v>
      </c>
      <c r="G1" s="93" t="s">
        <v>7</v>
      </c>
      <c r="H1" s="93" t="s">
        <v>8</v>
      </c>
      <c r="I1" s="93" t="s">
        <v>9</v>
      </c>
      <c r="J1" s="93" t="s">
        <v>11</v>
      </c>
      <c r="K1" s="93" t="s">
        <v>12</v>
      </c>
      <c r="L1" s="93" t="s">
        <v>13</v>
      </c>
      <c r="M1" s="93" t="s">
        <v>16</v>
      </c>
      <c r="N1" s="93" t="s">
        <v>17</v>
      </c>
      <c r="O1" s="93" t="s">
        <v>18</v>
      </c>
      <c r="P1" s="93" t="s">
        <v>19</v>
      </c>
      <c r="Q1" s="94" t="s">
        <v>20</v>
      </c>
      <c r="R1" s="94" t="s">
        <v>21</v>
      </c>
      <c r="S1" s="95" t="s">
        <v>7448</v>
      </c>
      <c r="T1" s="103" t="s">
        <v>23</v>
      </c>
      <c r="U1" s="103" t="s">
        <v>24</v>
      </c>
      <c r="V1" s="103" t="s">
        <v>25</v>
      </c>
      <c r="W1" s="103" t="s">
        <v>5</v>
      </c>
      <c r="X1" s="4"/>
    </row>
    <row r="2" spans="1:24">
      <c r="A2" s="96">
        <v>1</v>
      </c>
      <c r="B2" s="97" t="s">
        <v>27</v>
      </c>
      <c r="C2" s="96" t="s">
        <v>31</v>
      </c>
      <c r="D2" s="96" t="s">
        <v>32</v>
      </c>
      <c r="E2" s="96" t="s">
        <v>33</v>
      </c>
      <c r="F2" s="98" t="s">
        <v>34</v>
      </c>
      <c r="G2" s="99" t="s">
        <v>39</v>
      </c>
      <c r="H2" s="100" t="s">
        <v>40</v>
      </c>
      <c r="I2" s="101">
        <v>2007</v>
      </c>
      <c r="J2" s="102" t="str">
        <f>HYPERLINK("http://www.ubansethu.cz","http://www.ubansethu.cz")</f>
        <v>http://www.ubansethu.cz</v>
      </c>
      <c r="K2" s="102" t="str">
        <f>HYPERLINK("https://www.facebook.com/sousedskypivovarbasta","https://www.facebook.com/sousedskypivovarbasta")</f>
        <v>https://www.facebook.com/sousedskypivovarbasta</v>
      </c>
      <c r="L2" s="96" t="s">
        <v>48</v>
      </c>
      <c r="M2" s="96" t="s">
        <v>50</v>
      </c>
      <c r="N2" s="96" t="s">
        <v>31</v>
      </c>
      <c r="O2" s="96"/>
      <c r="P2" s="96" t="s">
        <v>7487</v>
      </c>
      <c r="Q2" s="96">
        <v>50.062899999999999</v>
      </c>
      <c r="R2" s="96">
        <v>14.4398961</v>
      </c>
      <c r="S2" s="100" t="s">
        <v>52</v>
      </c>
      <c r="T2" s="103" t="s">
        <v>58</v>
      </c>
      <c r="U2" s="103" t="s">
        <v>58</v>
      </c>
      <c r="V2" s="103" t="s">
        <v>58</v>
      </c>
      <c r="W2" s="103" t="s">
        <v>59</v>
      </c>
    </row>
    <row r="3" spans="1:24">
      <c r="A3" s="96">
        <v>2</v>
      </c>
      <c r="B3" s="97" t="s">
        <v>27</v>
      </c>
      <c r="C3" s="96" t="s">
        <v>35</v>
      </c>
      <c r="D3" s="96" t="s">
        <v>36</v>
      </c>
      <c r="E3" s="96" t="s">
        <v>35</v>
      </c>
      <c r="F3" s="98" t="s">
        <v>37</v>
      </c>
      <c r="G3" s="99" t="s">
        <v>39</v>
      </c>
      <c r="H3" s="100" t="s">
        <v>60</v>
      </c>
      <c r="I3" s="101">
        <v>2014</v>
      </c>
      <c r="J3" s="102" t="str">
        <f>HYPERLINK("http://www.pivovar-frydlant.com","http://www.pivovar-frydlant.com")</f>
        <v>http://www.pivovar-frydlant.com</v>
      </c>
      <c r="K3" s="102" t="str">
        <f>HYPERLINK("https://www.facebook.com/ZameckyPivovarFrydlant","https://www.facebook.com/ZameckyPivovarFrydlant")</f>
        <v>https://www.facebook.com/ZameckyPivovarFrydlant</v>
      </c>
      <c r="L3" s="96" t="s">
        <v>41</v>
      </c>
      <c r="M3" s="96"/>
      <c r="N3" s="96" t="s">
        <v>43</v>
      </c>
      <c r="O3" s="102" t="s">
        <v>45</v>
      </c>
      <c r="P3" s="96" t="s">
        <v>7488</v>
      </c>
      <c r="Q3" s="96">
        <v>50.914668900000002</v>
      </c>
      <c r="R3" s="96">
        <v>15.0869114</v>
      </c>
      <c r="S3" s="100" t="s">
        <v>52</v>
      </c>
      <c r="T3" s="103" t="s">
        <v>67</v>
      </c>
      <c r="U3" s="103" t="s">
        <v>68</v>
      </c>
      <c r="V3" s="103" t="s">
        <v>35</v>
      </c>
      <c r="W3" s="103" t="s">
        <v>35</v>
      </c>
    </row>
    <row r="4" spans="1:24">
      <c r="A4" s="96">
        <v>3</v>
      </c>
      <c r="B4" s="97" t="s">
        <v>27</v>
      </c>
      <c r="C4" s="96" t="s">
        <v>53</v>
      </c>
      <c r="D4" s="96" t="s">
        <v>54</v>
      </c>
      <c r="E4" s="96" t="s">
        <v>55</v>
      </c>
      <c r="F4" s="98" t="s">
        <v>56</v>
      </c>
      <c r="G4" s="99" t="s">
        <v>39</v>
      </c>
      <c r="H4" s="100" t="s">
        <v>69</v>
      </c>
      <c r="I4" s="101">
        <v>2011</v>
      </c>
      <c r="J4" s="102" t="str">
        <f>HYPERLINK("http://www.pivovarantos.cz","http://www.pivovarantos.cz")</f>
        <v>http://www.pivovarantos.cz</v>
      </c>
      <c r="K4" s="102" t="str">
        <f>HYPERLINK("https://www.facebook.com/pivovarantos","https://www.facebook.com/pivovarantos")</f>
        <v>https://www.facebook.com/pivovarantos</v>
      </c>
      <c r="L4" s="96" t="s">
        <v>61</v>
      </c>
      <c r="M4" s="96"/>
      <c r="N4" s="96" t="s">
        <v>63</v>
      </c>
      <c r="O4" s="96"/>
      <c r="P4" s="96" t="s">
        <v>7489</v>
      </c>
      <c r="Q4" s="96">
        <v>50.225639999999999</v>
      </c>
      <c r="R4" s="96">
        <v>14.105130000000001</v>
      </c>
      <c r="S4" s="100" t="s">
        <v>7447</v>
      </c>
      <c r="T4" s="103" t="s">
        <v>71</v>
      </c>
      <c r="U4" s="103" t="s">
        <v>72</v>
      </c>
      <c r="V4" s="103" t="s">
        <v>55</v>
      </c>
      <c r="W4" s="103" t="s">
        <v>55</v>
      </c>
    </row>
    <row r="5" spans="1:24" ht="16.5" customHeight="1">
      <c r="A5" s="96">
        <v>4</v>
      </c>
      <c r="B5" s="97" t="s">
        <v>27</v>
      </c>
      <c r="C5" s="96" t="s">
        <v>74</v>
      </c>
      <c r="D5" s="96" t="s">
        <v>75</v>
      </c>
      <c r="E5" s="96" t="s">
        <v>76</v>
      </c>
      <c r="F5" s="98" t="s">
        <v>77</v>
      </c>
      <c r="G5" s="99" t="s">
        <v>39</v>
      </c>
      <c r="H5" s="100" t="s">
        <v>78</v>
      </c>
      <c r="I5" s="101">
        <v>2004</v>
      </c>
      <c r="J5" s="102" t="str">
        <f>HYPERLINK("http://www.pivobakalar.cz","http://www.pivobakalar.cz")</f>
        <v>http://www.pivobakalar.cz</v>
      </c>
      <c r="K5" s="102" t="str">
        <f>HYPERLINK("https://www.facebook.com/pivobakalar","https://www.facebook.com/pivobakalar")</f>
        <v>https://www.facebook.com/pivobakalar</v>
      </c>
      <c r="L5" s="96" t="s">
        <v>80</v>
      </c>
      <c r="M5" s="96"/>
      <c r="N5" s="96" t="s">
        <v>83</v>
      </c>
      <c r="O5" s="96"/>
      <c r="P5" s="96" t="s">
        <v>7490</v>
      </c>
      <c r="Q5" s="96">
        <v>50.106448299999997</v>
      </c>
      <c r="R5" s="96">
        <v>13.7276244</v>
      </c>
      <c r="S5" s="100" t="s">
        <v>7447</v>
      </c>
      <c r="T5" s="103" t="s">
        <v>71</v>
      </c>
      <c r="U5" s="103" t="s">
        <v>76</v>
      </c>
      <c r="V5" s="103" t="s">
        <v>76</v>
      </c>
      <c r="W5" s="103" t="s">
        <v>76</v>
      </c>
    </row>
    <row r="6" spans="1:24">
      <c r="A6" s="96">
        <v>5</v>
      </c>
      <c r="B6" s="97" t="s">
        <v>27</v>
      </c>
      <c r="C6" s="96" t="s">
        <v>85</v>
      </c>
      <c r="D6" s="96" t="s">
        <v>86</v>
      </c>
      <c r="E6" s="96" t="s">
        <v>87</v>
      </c>
      <c r="F6" s="96" t="s">
        <v>88</v>
      </c>
      <c r="G6" s="99" t="s">
        <v>39</v>
      </c>
      <c r="H6" s="100" t="s">
        <v>89</v>
      </c>
      <c r="I6" s="101" t="s">
        <v>90</v>
      </c>
      <c r="J6" s="96"/>
      <c r="K6" s="96"/>
      <c r="L6" s="96" t="s">
        <v>92</v>
      </c>
      <c r="M6" s="96" t="s">
        <v>93</v>
      </c>
      <c r="N6" s="96" t="s">
        <v>94</v>
      </c>
      <c r="O6" s="102" t="s">
        <v>95</v>
      </c>
      <c r="P6" s="96" t="s">
        <v>7450</v>
      </c>
      <c r="Q6" s="101">
        <v>49.0280244</v>
      </c>
      <c r="R6" s="101">
        <v>17.6429908</v>
      </c>
      <c r="S6" s="100" t="s">
        <v>7447</v>
      </c>
      <c r="T6" s="103" t="s">
        <v>97</v>
      </c>
      <c r="U6" s="103" t="s">
        <v>98</v>
      </c>
      <c r="V6" s="103" t="s">
        <v>87</v>
      </c>
      <c r="W6" s="103" t="s">
        <v>87</v>
      </c>
    </row>
    <row r="7" spans="1:24">
      <c r="A7" s="96">
        <v>6</v>
      </c>
      <c r="B7" s="97" t="s">
        <v>99</v>
      </c>
      <c r="C7" s="100" t="s">
        <v>100</v>
      </c>
      <c r="D7" s="100" t="s">
        <v>100</v>
      </c>
      <c r="E7" s="100" t="s">
        <v>101</v>
      </c>
      <c r="F7" s="100" t="s">
        <v>102</v>
      </c>
      <c r="G7" s="99" t="s">
        <v>39</v>
      </c>
      <c r="H7" s="104" t="s">
        <v>103</v>
      </c>
      <c r="I7" s="103"/>
      <c r="J7" s="100" t="s">
        <v>104</v>
      </c>
      <c r="K7" s="100" t="s">
        <v>105</v>
      </c>
      <c r="L7" s="100" t="s">
        <v>106</v>
      </c>
      <c r="M7" s="100"/>
      <c r="N7" s="100" t="s">
        <v>101</v>
      </c>
      <c r="O7" s="100"/>
      <c r="P7" s="100" t="s">
        <v>107</v>
      </c>
      <c r="Q7" s="101">
        <v>50.776993599999997</v>
      </c>
      <c r="R7" s="101">
        <v>14.6422642</v>
      </c>
      <c r="S7" s="103" t="s">
        <v>7447</v>
      </c>
      <c r="T7" s="103" t="s">
        <v>67</v>
      </c>
      <c r="U7" s="103" t="s">
        <v>108</v>
      </c>
      <c r="V7" s="103" t="s">
        <v>109</v>
      </c>
      <c r="W7" s="103" t="s">
        <v>101</v>
      </c>
      <c r="X7" s="21"/>
    </row>
    <row r="8" spans="1:24" ht="15.75" customHeight="1">
      <c r="A8" s="96">
        <v>7</v>
      </c>
      <c r="B8" s="97" t="s">
        <v>99</v>
      </c>
      <c r="C8" s="96" t="s">
        <v>110</v>
      </c>
      <c r="D8" s="96" t="s">
        <v>110</v>
      </c>
      <c r="E8" s="96" t="s">
        <v>111</v>
      </c>
      <c r="F8" s="96" t="s">
        <v>112</v>
      </c>
      <c r="G8" s="99" t="s">
        <v>39</v>
      </c>
      <c r="H8" s="100" t="s">
        <v>114</v>
      </c>
      <c r="I8" s="100"/>
      <c r="J8" s="105" t="s">
        <v>4717</v>
      </c>
      <c r="K8" s="96" t="s">
        <v>116</v>
      </c>
      <c r="L8" s="96" t="s">
        <v>117</v>
      </c>
      <c r="M8" s="96" t="s">
        <v>118</v>
      </c>
      <c r="N8" s="100" t="s">
        <v>119</v>
      </c>
      <c r="O8" s="96"/>
      <c r="P8" s="96" t="s">
        <v>7449</v>
      </c>
      <c r="Q8" s="106">
        <v>49.839025800000002</v>
      </c>
      <c r="R8" s="106">
        <v>18.163346399999998</v>
      </c>
      <c r="S8" s="100" t="s">
        <v>7447</v>
      </c>
      <c r="T8" s="103" t="s">
        <v>121</v>
      </c>
      <c r="U8" s="103" t="s">
        <v>122</v>
      </c>
      <c r="V8" s="103" t="s">
        <v>123</v>
      </c>
      <c r="W8" s="103" t="s">
        <v>123</v>
      </c>
    </row>
    <row r="9" spans="1:24">
      <c r="A9" s="96">
        <v>11</v>
      </c>
      <c r="B9" s="97" t="s">
        <v>27</v>
      </c>
      <c r="C9" s="96" t="s">
        <v>65</v>
      </c>
      <c r="D9" s="96" t="s">
        <v>66</v>
      </c>
      <c r="E9" s="96" t="s">
        <v>55</v>
      </c>
      <c r="F9" s="98" t="s">
        <v>70</v>
      </c>
      <c r="G9" s="99" t="s">
        <v>39</v>
      </c>
      <c r="H9" s="100" t="s">
        <v>40</v>
      </c>
      <c r="I9" s="101">
        <v>2011</v>
      </c>
      <c r="J9" s="102" t="str">
        <f>HYPERLINK("http://www.pivovarantos.cz","http://www.pivovarantos.cz")</f>
        <v>http://www.pivovarantos.cz</v>
      </c>
      <c r="K9" s="102" t="str">
        <f>HYPERLINK("https://www.facebook.com/pivovarantos","https://www.facebook.com/pivovarantos")</f>
        <v>https://www.facebook.com/pivovarantos</v>
      </c>
      <c r="L9" s="96" t="s">
        <v>61</v>
      </c>
      <c r="M9" s="96"/>
      <c r="N9" s="96" t="s">
        <v>63</v>
      </c>
      <c r="O9" s="96" t="s">
        <v>79</v>
      </c>
      <c r="P9" s="96" t="s">
        <v>7491</v>
      </c>
      <c r="Q9" s="96">
        <v>50.229999399999997</v>
      </c>
      <c r="R9" s="96">
        <v>14.0885894</v>
      </c>
      <c r="S9" s="100" t="s">
        <v>52</v>
      </c>
      <c r="T9" s="103" t="s">
        <v>71</v>
      </c>
      <c r="U9" s="103" t="s">
        <v>72</v>
      </c>
      <c r="V9" s="103" t="s">
        <v>55</v>
      </c>
      <c r="W9" s="103" t="s">
        <v>55</v>
      </c>
    </row>
    <row r="10" spans="1:24">
      <c r="A10" s="96">
        <v>12</v>
      </c>
      <c r="B10" s="97" t="s">
        <v>27</v>
      </c>
      <c r="C10" s="96" t="s">
        <v>134</v>
      </c>
      <c r="D10" s="96" t="s">
        <v>136</v>
      </c>
      <c r="E10" s="96" t="s">
        <v>138</v>
      </c>
      <c r="F10" s="98" t="s">
        <v>139</v>
      </c>
      <c r="G10" s="99" t="s">
        <v>39</v>
      </c>
      <c r="H10" s="100" t="s">
        <v>40</v>
      </c>
      <c r="I10" s="101">
        <v>2013</v>
      </c>
      <c r="J10" s="102" t="str">
        <f>HYPERLINK("http://www.novyrybnik.com","http://www.novyrybnik.com")</f>
        <v>http://www.novyrybnik.com</v>
      </c>
      <c r="K10" s="102" t="str">
        <f>HYPERLINK("https://www.facebook.com/PenzionNovyRybnik","https://www.facebook.com/PenzionNovyRybnik")</f>
        <v>https://www.facebook.com/PenzionNovyRybnik</v>
      </c>
      <c r="L10" s="96" t="s">
        <v>152</v>
      </c>
      <c r="M10" s="96"/>
      <c r="N10" s="96" t="s">
        <v>154</v>
      </c>
      <c r="O10" s="96"/>
      <c r="P10" s="96" t="s">
        <v>7492</v>
      </c>
      <c r="Q10" s="96">
        <v>49.749811399999999</v>
      </c>
      <c r="R10" s="96">
        <v>14.1431103</v>
      </c>
      <c r="S10" s="100" t="s">
        <v>52</v>
      </c>
      <c r="T10" s="103" t="s">
        <v>71</v>
      </c>
      <c r="U10" s="103" t="s">
        <v>195</v>
      </c>
      <c r="V10" s="103" t="s">
        <v>196</v>
      </c>
      <c r="W10" s="103" t="s">
        <v>138</v>
      </c>
    </row>
    <row r="11" spans="1:24">
      <c r="A11" s="96">
        <v>13</v>
      </c>
      <c r="B11" s="97" t="s">
        <v>27</v>
      </c>
      <c r="C11" s="96" t="s">
        <v>158</v>
      </c>
      <c r="D11" s="96" t="s">
        <v>159</v>
      </c>
      <c r="E11" s="96" t="s">
        <v>160</v>
      </c>
      <c r="F11" s="98" t="s">
        <v>161</v>
      </c>
      <c r="G11" s="99" t="s">
        <v>39</v>
      </c>
      <c r="H11" s="100" t="s">
        <v>40</v>
      </c>
      <c r="I11" s="101">
        <v>1993</v>
      </c>
      <c r="J11" s="102" t="str">
        <f>HYPERLINK("http://pivovaruhusku.webnode.cz","http://pivovaruhusku.webnode.cz")</f>
        <v>http://pivovaruhusku.webnode.cz</v>
      </c>
      <c r="K11" s="102" t="str">
        <f>HYPERLINK("https://www.facebook.com/Hostinec-a-Pivovar-U-Hu%C5%A1k%C5%AF-362819800489056","https://www.facebook.com/Hostinec-a-Pivovar-U-Hu%C5%A1k%C5%AF-362819800489056")</f>
        <v>https://www.facebook.com/Hostinec-a-Pivovar-U-Hu%C5%A1k%C5%AF-362819800489056</v>
      </c>
      <c r="L11" s="107" t="s">
        <v>202</v>
      </c>
      <c r="M11" s="96"/>
      <c r="N11" s="96" t="s">
        <v>164</v>
      </c>
      <c r="O11" s="96"/>
      <c r="P11" s="96" t="s">
        <v>7493</v>
      </c>
      <c r="Q11" s="96">
        <v>50.197207200000001</v>
      </c>
      <c r="R11" s="96">
        <v>15.9418978</v>
      </c>
      <c r="S11" s="100" t="s">
        <v>52</v>
      </c>
      <c r="T11" s="103" t="s">
        <v>207</v>
      </c>
      <c r="U11" s="103" t="s">
        <v>208</v>
      </c>
      <c r="V11" s="103" t="s">
        <v>208</v>
      </c>
      <c r="W11" s="103" t="s">
        <v>160</v>
      </c>
    </row>
    <row r="12" spans="1:24">
      <c r="A12" s="96">
        <v>14</v>
      </c>
      <c r="B12" s="97" t="s">
        <v>27</v>
      </c>
      <c r="C12" s="96" t="s">
        <v>166</v>
      </c>
      <c r="D12" s="96" t="s">
        <v>167</v>
      </c>
      <c r="E12" s="96" t="s">
        <v>168</v>
      </c>
      <c r="F12" s="98" t="s">
        <v>169</v>
      </c>
      <c r="G12" s="99" t="s">
        <v>39</v>
      </c>
      <c r="H12" s="100" t="s">
        <v>40</v>
      </c>
      <c r="I12" s="101">
        <v>2007</v>
      </c>
      <c r="J12" s="102" t="str">
        <f>HYPERLINK("http://www.hotelbelveder.cz","http://www.hotelbelveder.cz")</f>
        <v>http://www.hotelbelveder.cz</v>
      </c>
      <c r="K12" s="96"/>
      <c r="L12" s="96" t="s">
        <v>170</v>
      </c>
      <c r="M12" s="96"/>
      <c r="N12" s="96" t="s">
        <v>172</v>
      </c>
      <c r="O12" s="96"/>
      <c r="P12" s="96" t="s">
        <v>7494</v>
      </c>
      <c r="Q12" s="96">
        <v>49.143136900000002</v>
      </c>
      <c r="R12" s="96">
        <v>13.2395017</v>
      </c>
      <c r="S12" s="100" t="s">
        <v>7447</v>
      </c>
      <c r="T12" s="103" t="s">
        <v>217</v>
      </c>
      <c r="U12" s="103" t="s">
        <v>218</v>
      </c>
      <c r="V12" s="103" t="s">
        <v>218</v>
      </c>
      <c r="W12" s="103" t="s">
        <v>168</v>
      </c>
    </row>
    <row r="13" spans="1:24">
      <c r="A13" s="96">
        <v>15</v>
      </c>
      <c r="B13" s="97" t="s">
        <v>27</v>
      </c>
      <c r="C13" s="96" t="s">
        <v>174</v>
      </c>
      <c r="D13" s="96" t="s">
        <v>175</v>
      </c>
      <c r="E13" s="96" t="s">
        <v>176</v>
      </c>
      <c r="F13" s="98" t="s">
        <v>177</v>
      </c>
      <c r="G13" s="99" t="s">
        <v>39</v>
      </c>
      <c r="H13" s="100" t="s">
        <v>78</v>
      </c>
      <c r="I13" s="101">
        <v>1597</v>
      </c>
      <c r="J13" s="102" t="str">
        <f>HYPERLINK("http://www.bernard.cz","http://www.bernard.cz")</f>
        <v>http://www.bernard.cz</v>
      </c>
      <c r="K13" s="102" t="str">
        <f>HYPERLINK("https://www.facebook.com/bernard.cz","https://www.facebook.com/bernard.cz")</f>
        <v>https://www.facebook.com/bernard.cz</v>
      </c>
      <c r="L13" s="96" t="s">
        <v>178</v>
      </c>
      <c r="M13" s="96"/>
      <c r="N13" s="96" t="s">
        <v>174</v>
      </c>
      <c r="O13" s="96"/>
      <c r="P13" s="96" t="s">
        <v>7495</v>
      </c>
      <c r="Q13" s="108">
        <v>49.540111699999997</v>
      </c>
      <c r="R13" s="108">
        <v>15.3599669</v>
      </c>
      <c r="S13" s="100" t="s">
        <v>52</v>
      </c>
      <c r="T13" s="103" t="s">
        <v>144</v>
      </c>
      <c r="U13" s="103" t="s">
        <v>227</v>
      </c>
      <c r="V13" s="103" t="s">
        <v>176</v>
      </c>
      <c r="W13" s="103" t="s">
        <v>176</v>
      </c>
    </row>
    <row r="14" spans="1:24">
      <c r="A14" s="96">
        <v>16</v>
      </c>
      <c r="B14" s="97" t="s">
        <v>27</v>
      </c>
      <c r="C14" s="96" t="s">
        <v>181</v>
      </c>
      <c r="D14" s="96" t="s">
        <v>182</v>
      </c>
      <c r="E14" s="96" t="s">
        <v>183</v>
      </c>
      <c r="F14" s="98" t="s">
        <v>184</v>
      </c>
      <c r="G14" s="99" t="s">
        <v>39</v>
      </c>
      <c r="H14" s="100" t="s">
        <v>40</v>
      </c>
      <c r="I14" s="101">
        <v>1998</v>
      </c>
      <c r="J14" s="102" t="str">
        <f>HYPERLINK("http://www.berounskymedved.com","http://www.berounskymedved.com")</f>
        <v>http://www.berounskymedved.com</v>
      </c>
      <c r="K14" s="100" t="s">
        <v>236</v>
      </c>
      <c r="L14" s="96" t="s">
        <v>185</v>
      </c>
      <c r="M14" s="96"/>
      <c r="N14" s="96" t="s">
        <v>187</v>
      </c>
      <c r="O14" s="96" t="s">
        <v>189</v>
      </c>
      <c r="P14" s="96" t="s">
        <v>7496</v>
      </c>
      <c r="Q14" s="96">
        <v>49.956727800000003</v>
      </c>
      <c r="R14" s="96">
        <v>14.071892800000001</v>
      </c>
      <c r="S14" s="100" t="s">
        <v>52</v>
      </c>
      <c r="T14" s="103" t="s">
        <v>71</v>
      </c>
      <c r="U14" s="103" t="s">
        <v>183</v>
      </c>
      <c r="V14" s="103" t="s">
        <v>183</v>
      </c>
      <c r="W14" s="103" t="s">
        <v>183</v>
      </c>
    </row>
    <row r="15" spans="1:24">
      <c r="A15" s="96">
        <v>17</v>
      </c>
      <c r="B15" s="97" t="s">
        <v>27</v>
      </c>
      <c r="C15" s="96" t="s">
        <v>191</v>
      </c>
      <c r="D15" s="96" t="s">
        <v>192</v>
      </c>
      <c r="E15" s="96" t="s">
        <v>193</v>
      </c>
      <c r="F15" s="98" t="s">
        <v>194</v>
      </c>
      <c r="G15" s="99" t="s">
        <v>39</v>
      </c>
      <c r="H15" s="100" t="s">
        <v>40</v>
      </c>
      <c r="I15" s="101">
        <v>2013</v>
      </c>
      <c r="J15" s="102" t="str">
        <f>HYPERLINK("http://www.beskydskypivovarek.cz","http://www.beskydskypivovarek.cz")</f>
        <v>http://www.beskydskypivovarek.cz</v>
      </c>
      <c r="K15" s="102" t="str">
        <f>HYPERLINK("https://www.facebook.com/Beskydskypivovarek","https://www.facebook.com/Beskydskypivovarek")</f>
        <v>https://www.facebook.com/Beskydskypivovarek</v>
      </c>
      <c r="L15" s="96" t="s">
        <v>197</v>
      </c>
      <c r="M15" s="96"/>
      <c r="N15" s="96" t="s">
        <v>199</v>
      </c>
      <c r="O15" s="102" t="s">
        <v>200</v>
      </c>
      <c r="P15" s="96" t="s">
        <v>7497</v>
      </c>
      <c r="Q15" s="96">
        <v>49.532056099999998</v>
      </c>
      <c r="R15" s="96">
        <v>18.394929999999999</v>
      </c>
      <c r="S15" s="100" t="s">
        <v>52</v>
      </c>
      <c r="T15" s="103" t="s">
        <v>121</v>
      </c>
      <c r="U15" s="103" t="s">
        <v>259</v>
      </c>
      <c r="V15" s="103" t="s">
        <v>260</v>
      </c>
      <c r="W15" s="103" t="s">
        <v>193</v>
      </c>
    </row>
    <row r="16" spans="1:24">
      <c r="A16" s="96">
        <v>18</v>
      </c>
      <c r="B16" s="97" t="s">
        <v>27</v>
      </c>
      <c r="C16" s="96" t="s">
        <v>203</v>
      </c>
      <c r="D16" s="96" t="s">
        <v>204</v>
      </c>
      <c r="E16" s="96" t="s">
        <v>205</v>
      </c>
      <c r="F16" s="98" t="s">
        <v>206</v>
      </c>
      <c r="G16" s="99" t="s">
        <v>39</v>
      </c>
      <c r="H16" s="100" t="s">
        <v>40</v>
      </c>
      <c r="I16" s="101">
        <v>2013</v>
      </c>
      <c r="J16" s="102" t="str">
        <f>HYPERLINK("http://skolicka.cz","http://skolicka.cz")</f>
        <v>http://skolicka.cz</v>
      </c>
      <c r="K16" s="102" t="str">
        <f>HYPERLINK("https://www.facebook.com/minipivovarbeznoska","https://www.facebook.com/minipivovarbeznoska")</f>
        <v>https://www.facebook.com/minipivovarbeznoska</v>
      </c>
      <c r="L16" s="96" t="s">
        <v>209</v>
      </c>
      <c r="M16" s="96"/>
      <c r="N16" s="96" t="s">
        <v>211</v>
      </c>
      <c r="O16" s="96"/>
      <c r="P16" s="96" t="s">
        <v>7498</v>
      </c>
      <c r="Q16" s="96">
        <v>50.117631000000003</v>
      </c>
      <c r="R16" s="96">
        <v>14.507141000000001</v>
      </c>
      <c r="S16" s="100" t="s">
        <v>52</v>
      </c>
      <c r="T16" s="103" t="s">
        <v>58</v>
      </c>
      <c r="U16" s="103" t="s">
        <v>58</v>
      </c>
      <c r="V16" s="103" t="s">
        <v>58</v>
      </c>
      <c r="W16" s="103" t="s">
        <v>59</v>
      </c>
    </row>
    <row r="17" spans="1:23">
      <c r="A17" s="96">
        <v>19</v>
      </c>
      <c r="B17" s="97" t="s">
        <v>27</v>
      </c>
      <c r="C17" s="96" t="s">
        <v>214</v>
      </c>
      <c r="D17" s="96" t="s">
        <v>215</v>
      </c>
      <c r="E17" s="96" t="s">
        <v>214</v>
      </c>
      <c r="F17" s="98" t="s">
        <v>216</v>
      </c>
      <c r="G17" s="99" t="s">
        <v>39</v>
      </c>
      <c r="H17" s="100" t="s">
        <v>69</v>
      </c>
      <c r="I17" s="101">
        <v>2004</v>
      </c>
      <c r="J17" s="102" t="str">
        <f>HYPERLINK("http://www.pivovarzasova.cz","http://www.pivovarzasova.cz")</f>
        <v>http://www.pivovarzasova.cz</v>
      </c>
      <c r="K17" s="102" t="str">
        <f>HYPERLINK("https://www.facebook.com/PivovarZasova","https://www.facebook.com/PivovarZasova")</f>
        <v>https://www.facebook.com/PivovarZasova</v>
      </c>
      <c r="L17" s="96" t="s">
        <v>219</v>
      </c>
      <c r="M17" s="96" t="s">
        <v>221</v>
      </c>
      <c r="N17" s="96" t="s">
        <v>222</v>
      </c>
      <c r="O17" s="102" t="s">
        <v>223</v>
      </c>
      <c r="P17" s="96" t="s">
        <v>7499</v>
      </c>
      <c r="Q17" s="96">
        <v>49.473637799999999</v>
      </c>
      <c r="R17" s="96">
        <v>18.046261699999999</v>
      </c>
      <c r="S17" s="100" t="s">
        <v>7447</v>
      </c>
      <c r="T17" s="103" t="s">
        <v>97</v>
      </c>
      <c r="U17" s="103" t="s">
        <v>287</v>
      </c>
      <c r="V17" s="103" t="s">
        <v>288</v>
      </c>
      <c r="W17" s="103" t="s">
        <v>214</v>
      </c>
    </row>
    <row r="18" spans="1:23">
      <c r="A18" s="96">
        <v>20</v>
      </c>
      <c r="B18" s="97" t="s">
        <v>27</v>
      </c>
      <c r="C18" s="96" t="s">
        <v>225</v>
      </c>
      <c r="D18" s="96" t="s">
        <v>226</v>
      </c>
      <c r="E18" s="96" t="s">
        <v>228</v>
      </c>
      <c r="F18" s="96" t="s">
        <v>229</v>
      </c>
      <c r="G18" s="99" t="s">
        <v>39</v>
      </c>
      <c r="H18" s="100" t="s">
        <v>89</v>
      </c>
      <c r="I18" s="101" t="s">
        <v>289</v>
      </c>
      <c r="J18" s="96" t="s">
        <v>230</v>
      </c>
      <c r="K18" s="96"/>
      <c r="L18" s="96" t="s">
        <v>231</v>
      </c>
      <c r="M18" s="96"/>
      <c r="N18" s="96" t="s">
        <v>233</v>
      </c>
      <c r="O18" s="96" t="s">
        <v>234</v>
      </c>
      <c r="P18" s="96" t="s">
        <v>7500</v>
      </c>
      <c r="Q18" s="101">
        <v>50.001502000000002</v>
      </c>
      <c r="R18" s="101">
        <v>14.560808</v>
      </c>
      <c r="S18" s="100" t="s">
        <v>52</v>
      </c>
      <c r="T18" s="103" t="s">
        <v>71</v>
      </c>
      <c r="U18" s="103" t="s">
        <v>295</v>
      </c>
      <c r="V18" s="103" t="s">
        <v>296</v>
      </c>
      <c r="W18" s="103" t="s">
        <v>228</v>
      </c>
    </row>
    <row r="19" spans="1:23">
      <c r="A19" s="96">
        <v>21</v>
      </c>
      <c r="B19" s="97" t="s">
        <v>27</v>
      </c>
      <c r="C19" s="96" t="s">
        <v>237</v>
      </c>
      <c r="D19" s="96" t="s">
        <v>238</v>
      </c>
      <c r="E19" s="96" t="s">
        <v>239</v>
      </c>
      <c r="F19" s="96" t="s">
        <v>240</v>
      </c>
      <c r="G19" s="99" t="s">
        <v>39</v>
      </c>
      <c r="H19" s="100" t="s">
        <v>40</v>
      </c>
      <c r="I19" s="101">
        <v>2012</v>
      </c>
      <c r="J19" s="102" t="str">
        <f>HYPERLINK("http://www.hostinecvedvore.cz","http://www.hostinecvedvore.cz")</f>
        <v>http://www.hostinecvedvore.cz</v>
      </c>
      <c r="K19" s="102" t="s">
        <v>241</v>
      </c>
      <c r="L19" s="96" t="s">
        <v>242</v>
      </c>
      <c r="M19" s="96"/>
      <c r="N19" s="96" t="s">
        <v>237</v>
      </c>
      <c r="O19" s="102" t="s">
        <v>245</v>
      </c>
      <c r="P19" s="96" t="s">
        <v>7501</v>
      </c>
      <c r="Q19" s="96">
        <v>49.772792000000003</v>
      </c>
      <c r="R19" s="96">
        <v>18.306511</v>
      </c>
      <c r="S19" s="100" t="s">
        <v>52</v>
      </c>
      <c r="T19" s="103" t="s">
        <v>121</v>
      </c>
      <c r="U19" s="103" t="s">
        <v>122</v>
      </c>
      <c r="V19" s="103" t="s">
        <v>123</v>
      </c>
      <c r="W19" s="103" t="s">
        <v>239</v>
      </c>
    </row>
    <row r="20" spans="1:23">
      <c r="A20" s="96">
        <v>22</v>
      </c>
      <c r="B20" s="97" t="s">
        <v>27</v>
      </c>
      <c r="C20" s="96" t="s">
        <v>247</v>
      </c>
      <c r="D20" s="96" t="s">
        <v>248</v>
      </c>
      <c r="E20" s="96" t="s">
        <v>249</v>
      </c>
      <c r="F20" s="96" t="s">
        <v>250</v>
      </c>
      <c r="G20" s="99" t="s">
        <v>39</v>
      </c>
      <c r="H20" s="100" t="s">
        <v>40</v>
      </c>
      <c r="I20" s="101">
        <v>2013</v>
      </c>
      <c r="J20" s="102" t="str">
        <f>HYPERLINK("http://www.pivovarkolstejn.cz","http://www.pivovarkolstejn.cz")</f>
        <v>http://www.pivovarkolstejn.cz</v>
      </c>
      <c r="K20" s="102" t="str">
        <f>HYPERLINK("https://www.facebook.com/minipivovarkolstejn","https://www.facebook.com/minipivovarkolstejn")</f>
        <v>https://www.facebook.com/minipivovarkolstejn</v>
      </c>
      <c r="L20" s="96" t="s">
        <v>251</v>
      </c>
      <c r="M20" s="96"/>
      <c r="N20" s="96" t="s">
        <v>253</v>
      </c>
      <c r="O20" s="102" t="s">
        <v>254</v>
      </c>
      <c r="P20" s="96" t="s">
        <v>7502</v>
      </c>
      <c r="Q20" s="96">
        <v>50.152572200000002</v>
      </c>
      <c r="R20" s="96">
        <v>17.010988099999999</v>
      </c>
      <c r="S20" s="100" t="s">
        <v>52</v>
      </c>
      <c r="T20" s="103" t="s">
        <v>312</v>
      </c>
      <c r="U20" s="103" t="s">
        <v>313</v>
      </c>
      <c r="V20" s="103" t="s">
        <v>313</v>
      </c>
      <c r="W20" s="103" t="s">
        <v>249</v>
      </c>
    </row>
    <row r="21" spans="1:23">
      <c r="A21" s="96">
        <v>23</v>
      </c>
      <c r="B21" s="97" t="s">
        <v>27</v>
      </c>
      <c r="C21" s="96" t="s">
        <v>256</v>
      </c>
      <c r="D21" s="96" t="s">
        <v>257</v>
      </c>
      <c r="E21" s="96" t="s">
        <v>256</v>
      </c>
      <c r="F21" s="96" t="s">
        <v>258</v>
      </c>
      <c r="G21" s="99" t="s">
        <v>39</v>
      </c>
      <c r="H21" s="100" t="s">
        <v>78</v>
      </c>
      <c r="I21" s="101">
        <v>2013</v>
      </c>
      <c r="J21" s="102" t="str">
        <f>HYPERLINK("http://www.pivovarbreclav.cz","http://www.pivovarbreclav.cz")</f>
        <v>http://www.pivovarbreclav.cz</v>
      </c>
      <c r="K21" s="102" t="str">
        <f>HYPERLINK("https://www.facebook.com/pivovarbreclav","https://www.facebook.com/pivovarbreclav")</f>
        <v>https://www.facebook.com/pivovarbreclav</v>
      </c>
      <c r="L21" s="96" t="s">
        <v>261</v>
      </c>
      <c r="M21" s="96" t="s">
        <v>263</v>
      </c>
      <c r="N21" s="96" t="s">
        <v>264</v>
      </c>
      <c r="O21" s="96"/>
      <c r="P21" s="96" t="s">
        <v>7503</v>
      </c>
      <c r="Q21" s="96">
        <v>48.760953100000002</v>
      </c>
      <c r="R21" s="96">
        <v>16.8751</v>
      </c>
      <c r="S21" s="100" t="s">
        <v>7447</v>
      </c>
      <c r="T21" s="103" t="s">
        <v>325</v>
      </c>
      <c r="U21" s="103" t="s">
        <v>256</v>
      </c>
      <c r="V21" s="103" t="s">
        <v>256</v>
      </c>
      <c r="W21" s="103" t="s">
        <v>256</v>
      </c>
    </row>
    <row r="22" spans="1:23">
      <c r="A22" s="96">
        <v>24</v>
      </c>
      <c r="B22" s="97" t="s">
        <v>27</v>
      </c>
      <c r="C22" s="96" t="s">
        <v>266</v>
      </c>
      <c r="D22" s="96" t="s">
        <v>267</v>
      </c>
      <c r="E22" s="96" t="s">
        <v>268</v>
      </c>
      <c r="F22" s="96" t="s">
        <v>269</v>
      </c>
      <c r="G22" s="99" t="s">
        <v>39</v>
      </c>
      <c r="H22" s="100" t="s">
        <v>69</v>
      </c>
      <c r="I22" s="101">
        <v>2012</v>
      </c>
      <c r="J22" s="102" t="str">
        <f>HYPERLINK("http://brevnovskypivovar.cz","http://brevnovskypivovar.cz")</f>
        <v>http://brevnovskypivovar.cz</v>
      </c>
      <c r="K22" s="102" t="str">
        <f>HYPERLINK("https://www.facebook.com/Brevnovskypivovar","https://www.facebook.com/Brevnovskypivovar")</f>
        <v>https://www.facebook.com/Brevnovskypivovar</v>
      </c>
      <c r="L22" s="96" t="s">
        <v>270</v>
      </c>
      <c r="M22" s="96"/>
      <c r="N22" s="96" t="s">
        <v>272</v>
      </c>
      <c r="O22" s="96"/>
      <c r="P22" s="96" t="s">
        <v>7504</v>
      </c>
      <c r="Q22" s="96">
        <v>50.0841931</v>
      </c>
      <c r="R22" s="96">
        <v>14.3576164</v>
      </c>
      <c r="S22" s="100" t="s">
        <v>52</v>
      </c>
      <c r="T22" s="103" t="s">
        <v>58</v>
      </c>
      <c r="U22" s="103" t="s">
        <v>58</v>
      </c>
      <c r="V22" s="103" t="s">
        <v>58</v>
      </c>
      <c r="W22" s="103" t="s">
        <v>59</v>
      </c>
    </row>
    <row r="23" spans="1:23" ht="15.75" customHeight="1">
      <c r="A23" s="96">
        <v>25</v>
      </c>
      <c r="B23" s="97" t="s">
        <v>27</v>
      </c>
      <c r="C23" s="96" t="s">
        <v>274</v>
      </c>
      <c r="D23" s="96" t="s">
        <v>275</v>
      </c>
      <c r="E23" s="96" t="s">
        <v>276</v>
      </c>
      <c r="F23" s="96" t="s">
        <v>277</v>
      </c>
      <c r="G23" s="99" t="s">
        <v>39</v>
      </c>
      <c r="H23" s="100" t="s">
        <v>89</v>
      </c>
      <c r="I23" s="101" t="s">
        <v>336</v>
      </c>
      <c r="J23" s="96" t="s">
        <v>278</v>
      </c>
      <c r="K23" s="96"/>
      <c r="L23" s="96" t="s">
        <v>279</v>
      </c>
      <c r="M23" s="96" t="s">
        <v>282</v>
      </c>
      <c r="N23" s="96" t="s">
        <v>274</v>
      </c>
      <c r="O23" s="96"/>
      <c r="P23" s="96" t="s">
        <v>7505</v>
      </c>
      <c r="Q23" s="101">
        <v>50.029457000000001</v>
      </c>
      <c r="R23" s="101">
        <v>14.4102669999999</v>
      </c>
      <c r="S23" s="100" t="s">
        <v>7447</v>
      </c>
      <c r="T23" s="103" t="s">
        <v>58</v>
      </c>
      <c r="U23" s="103" t="s">
        <v>58</v>
      </c>
      <c r="V23" s="103" t="s">
        <v>58</v>
      </c>
      <c r="W23" s="103" t="s">
        <v>59</v>
      </c>
    </row>
    <row r="24" spans="1:23" ht="15.75" customHeight="1">
      <c r="A24" s="96">
        <v>26</v>
      </c>
      <c r="B24" s="97" t="s">
        <v>27</v>
      </c>
      <c r="C24" s="96" t="s">
        <v>284</v>
      </c>
      <c r="D24" s="96" t="s">
        <v>285</v>
      </c>
      <c r="E24" s="96" t="s">
        <v>284</v>
      </c>
      <c r="F24" s="96" t="s">
        <v>286</v>
      </c>
      <c r="G24" s="99" t="s">
        <v>39</v>
      </c>
      <c r="H24" s="100" t="s">
        <v>78</v>
      </c>
      <c r="I24" s="101">
        <v>1753</v>
      </c>
      <c r="J24" s="102" t="str">
        <f>HYPERLINK("http://www.breznak.cz","http://www.breznak.cz")</f>
        <v>http://www.breznak.cz</v>
      </c>
      <c r="K24" s="102" t="str">
        <f>HYPERLINK("https://www.facebook.com/pivobreznak","https://www.facebook.com/pivobreznak")</f>
        <v>https://www.facebook.com/pivobreznak</v>
      </c>
      <c r="L24" s="96" t="s">
        <v>290</v>
      </c>
      <c r="M24" s="96"/>
      <c r="N24" s="96" t="s">
        <v>293</v>
      </c>
      <c r="O24" s="96"/>
      <c r="P24" s="96" t="s">
        <v>7506</v>
      </c>
      <c r="Q24" s="96">
        <v>50.664648</v>
      </c>
      <c r="R24" s="96">
        <v>14.138935</v>
      </c>
      <c r="S24" s="100" t="s">
        <v>7447</v>
      </c>
      <c r="T24" s="103" t="s">
        <v>353</v>
      </c>
      <c r="U24" s="103" t="s">
        <v>354</v>
      </c>
      <c r="V24" s="103" t="s">
        <v>354</v>
      </c>
      <c r="W24" s="103" t="s">
        <v>284</v>
      </c>
    </row>
    <row r="25" spans="1:23" ht="15.75" customHeight="1">
      <c r="A25" s="96">
        <v>27</v>
      </c>
      <c r="B25" s="97" t="s">
        <v>27</v>
      </c>
      <c r="C25" s="96" t="s">
        <v>297</v>
      </c>
      <c r="D25" s="96" t="s">
        <v>297</v>
      </c>
      <c r="E25" s="96" t="s">
        <v>298</v>
      </c>
      <c r="F25" s="96" t="s">
        <v>299</v>
      </c>
      <c r="G25" s="99" t="s">
        <v>39</v>
      </c>
      <c r="H25" s="100" t="s">
        <v>78</v>
      </c>
      <c r="I25" s="101">
        <v>1895</v>
      </c>
      <c r="J25" s="102" t="str">
        <f>HYPERLINK("http://www.budejovickybudvar.cz","http://www.budejovickybudvar.cz")</f>
        <v>http://www.budejovickybudvar.cz</v>
      </c>
      <c r="K25" s="107" t="s">
        <v>364</v>
      </c>
      <c r="L25" s="96" t="s">
        <v>300</v>
      </c>
      <c r="M25" s="96"/>
      <c r="N25" s="96" t="s">
        <v>302</v>
      </c>
      <c r="O25" s="96"/>
      <c r="P25" s="96" t="s">
        <v>7507</v>
      </c>
      <c r="Q25" s="96">
        <v>48.9935683</v>
      </c>
      <c r="R25" s="96">
        <v>14.4761714</v>
      </c>
      <c r="S25" s="100" t="s">
        <v>7447</v>
      </c>
      <c r="T25" s="103" t="s">
        <v>369</v>
      </c>
      <c r="U25" s="103" t="s">
        <v>298</v>
      </c>
      <c r="V25" s="103" t="s">
        <v>298</v>
      </c>
      <c r="W25" s="103" t="s">
        <v>298</v>
      </c>
    </row>
    <row r="26" spans="1:23" ht="15.75" customHeight="1">
      <c r="A26" s="96">
        <v>28</v>
      </c>
      <c r="B26" s="97" t="s">
        <v>27</v>
      </c>
      <c r="C26" s="96" t="s">
        <v>304</v>
      </c>
      <c r="D26" s="96" t="s">
        <v>305</v>
      </c>
      <c r="E26" s="96" t="s">
        <v>304</v>
      </c>
      <c r="F26" s="96" t="s">
        <v>306</v>
      </c>
      <c r="G26" s="99" t="s">
        <v>39</v>
      </c>
      <c r="H26" s="100" t="s">
        <v>78</v>
      </c>
      <c r="I26" s="101">
        <v>1530</v>
      </c>
      <c r="J26" s="102" t="str">
        <f>HYPERLINK("http://www.pivovarcernahora.cz","http://www.pivovarcernahora.cz")</f>
        <v>http://www.pivovarcernahora.cz</v>
      </c>
      <c r="K26" s="102" t="str">
        <f>HYPERLINK("https://www.facebook.com/cernahorapivovar","https://www.facebook.com/cernahorapivovar")</f>
        <v>https://www.facebook.com/cernahorapivovar</v>
      </c>
      <c r="L26" s="96" t="s">
        <v>307</v>
      </c>
      <c r="M26" s="96"/>
      <c r="N26" s="96" t="s">
        <v>310</v>
      </c>
      <c r="O26" s="96"/>
      <c r="P26" s="96" t="s">
        <v>7508</v>
      </c>
      <c r="Q26" s="96">
        <v>49.4147672</v>
      </c>
      <c r="R26" s="96">
        <v>16.581654400000001</v>
      </c>
      <c r="S26" s="100" t="s">
        <v>7447</v>
      </c>
      <c r="T26" s="103" t="s">
        <v>325</v>
      </c>
      <c r="U26" s="103" t="s">
        <v>379</v>
      </c>
      <c r="V26" s="103" t="s">
        <v>379</v>
      </c>
      <c r="W26" s="103" t="s">
        <v>304</v>
      </c>
    </row>
    <row r="27" spans="1:23" ht="15.75" customHeight="1">
      <c r="A27" s="96">
        <v>29</v>
      </c>
      <c r="B27" s="97" t="s">
        <v>27</v>
      </c>
      <c r="C27" s="96" t="s">
        <v>314</v>
      </c>
      <c r="D27" s="96" t="s">
        <v>315</v>
      </c>
      <c r="E27" s="96" t="s">
        <v>316</v>
      </c>
      <c r="F27" s="96" t="s">
        <v>317</v>
      </c>
      <c r="G27" s="99" t="s">
        <v>39</v>
      </c>
      <c r="H27" s="100" t="s">
        <v>40</v>
      </c>
      <c r="I27" s="101">
        <v>2009</v>
      </c>
      <c r="J27" s="102" t="str">
        <f>HYPERLINK("http://www.pivovar-kromeriz.cz","http://www.pivovar-kromeriz.cz")</f>
        <v>http://www.pivovar-kromeriz.cz</v>
      </c>
      <c r="K27" s="102" t="str">
        <f>HYPERLINK("https://www.facebook.com/cerny.orel","https://www.facebook.com/cerny.orel")</f>
        <v>https://www.facebook.com/cerny.orel</v>
      </c>
      <c r="L27" s="96" t="s">
        <v>318</v>
      </c>
      <c r="M27" s="96"/>
      <c r="N27" s="96" t="s">
        <v>314</v>
      </c>
      <c r="O27" s="96"/>
      <c r="P27" s="96" t="s">
        <v>7509</v>
      </c>
      <c r="Q27" s="96">
        <v>49.298402199999998</v>
      </c>
      <c r="R27" s="96">
        <v>17.392333099999998</v>
      </c>
      <c r="S27" s="100" t="s">
        <v>52</v>
      </c>
      <c r="T27" s="103" t="s">
        <v>97</v>
      </c>
      <c r="U27" s="103" t="s">
        <v>316</v>
      </c>
      <c r="V27" s="103" t="s">
        <v>316</v>
      </c>
      <c r="W27" s="103" t="s">
        <v>316</v>
      </c>
    </row>
    <row r="28" spans="1:23" ht="15.75" customHeight="1">
      <c r="A28" s="96">
        <v>30</v>
      </c>
      <c r="B28" s="97" t="s">
        <v>27</v>
      </c>
      <c r="C28" s="96" t="s">
        <v>321</v>
      </c>
      <c r="D28" s="96" t="s">
        <v>322</v>
      </c>
      <c r="E28" s="96" t="s">
        <v>323</v>
      </c>
      <c r="F28" s="96" t="s">
        <v>324</v>
      </c>
      <c r="G28" s="99" t="s">
        <v>39</v>
      </c>
      <c r="H28" s="100" t="s">
        <v>40</v>
      </c>
      <c r="I28" s="101">
        <v>2011</v>
      </c>
      <c r="J28" s="102" t="str">
        <f>HYPERLINK("http://www.ubizona.eu","http://www.ubizona.eu")</f>
        <v>http://www.ubizona.eu</v>
      </c>
      <c r="K28" s="102" t="str">
        <f>HYPERLINK("https://www.facebook.com/HostinskyPivovarUBizonaCizice","https://www.facebook.com/HostinskyPivovarUBizonaCizice")</f>
        <v>https://www.facebook.com/HostinskyPivovarUBizonaCizice</v>
      </c>
      <c r="L28" s="96" t="s">
        <v>326</v>
      </c>
      <c r="M28" s="96"/>
      <c r="N28" s="96" t="s">
        <v>328</v>
      </c>
      <c r="O28" s="96"/>
      <c r="P28" s="96" t="s">
        <v>7510</v>
      </c>
      <c r="Q28" s="96">
        <v>49.649724399999997</v>
      </c>
      <c r="R28" s="96">
        <v>13.3992153</v>
      </c>
      <c r="S28" s="100" t="s">
        <v>7447</v>
      </c>
      <c r="T28" s="103" t="s">
        <v>217</v>
      </c>
      <c r="U28" s="103" t="s">
        <v>399</v>
      </c>
      <c r="V28" s="103" t="s">
        <v>401</v>
      </c>
      <c r="W28" s="103" t="s">
        <v>323</v>
      </c>
    </row>
    <row r="29" spans="1:23" ht="15.75" customHeight="1">
      <c r="A29" s="96">
        <v>31</v>
      </c>
      <c r="B29" s="97" t="s">
        <v>27</v>
      </c>
      <c r="C29" s="96" t="s">
        <v>331</v>
      </c>
      <c r="D29" s="96" t="s">
        <v>332</v>
      </c>
      <c r="E29" s="96" t="s">
        <v>331</v>
      </c>
      <c r="F29" s="96" t="s">
        <v>333</v>
      </c>
      <c r="G29" s="99" t="s">
        <v>39</v>
      </c>
      <c r="H29" s="100" t="s">
        <v>78</v>
      </c>
      <c r="I29" s="101">
        <v>2017</v>
      </c>
      <c r="J29" s="102" t="str">
        <f>HYPERLINK("http://pivokutnahora.cz","http://pivokutnahora.cz")</f>
        <v>http://pivokutnahora.cz</v>
      </c>
      <c r="K29" s="107" t="s">
        <v>403</v>
      </c>
      <c r="L29" s="96" t="s">
        <v>334</v>
      </c>
      <c r="M29" s="96"/>
      <c r="N29" s="96" t="s">
        <v>337</v>
      </c>
      <c r="O29" s="96"/>
      <c r="P29" s="96" t="s">
        <v>7511</v>
      </c>
      <c r="Q29" s="96">
        <v>49.956696000000001</v>
      </c>
      <c r="R29" s="96">
        <v>15.270909</v>
      </c>
      <c r="S29" s="100" t="s">
        <v>7447</v>
      </c>
      <c r="T29" s="103" t="s">
        <v>71</v>
      </c>
      <c r="U29" s="103" t="s">
        <v>331</v>
      </c>
      <c r="V29" s="103" t="s">
        <v>331</v>
      </c>
      <c r="W29" s="103" t="s">
        <v>331</v>
      </c>
    </row>
    <row r="30" spans="1:23" ht="15.75" customHeight="1">
      <c r="A30" s="96">
        <v>32</v>
      </c>
      <c r="B30" s="97" t="s">
        <v>27</v>
      </c>
      <c r="C30" s="96" t="s">
        <v>339</v>
      </c>
      <c r="D30" s="96" t="s">
        <v>340</v>
      </c>
      <c r="E30" s="96" t="s">
        <v>339</v>
      </c>
      <c r="F30" s="96" t="s">
        <v>341</v>
      </c>
      <c r="G30" s="99" t="s">
        <v>39</v>
      </c>
      <c r="H30" s="100" t="s">
        <v>40</v>
      </c>
      <c r="I30" s="101">
        <v>2002</v>
      </c>
      <c r="J30" s="102" t="str">
        <f>HYPERLINK("http://www.pivovar-dalesice.cz","http://www.pivovar-dalesice.cz")</f>
        <v>http://www.pivovar-dalesice.cz</v>
      </c>
      <c r="K30" s="102" t="str">
        <f>HYPERLINK("https://www.facebook.com/pivovardalesice","https://www.facebook.com/pivovardalesice")</f>
        <v>https://www.facebook.com/pivovardalesice</v>
      </c>
      <c r="L30" s="96" t="s">
        <v>342</v>
      </c>
      <c r="M30" s="96"/>
      <c r="N30" s="96" t="s">
        <v>344</v>
      </c>
      <c r="O30" s="107" t="s">
        <v>420</v>
      </c>
      <c r="P30" s="96" t="s">
        <v>7512</v>
      </c>
      <c r="Q30" s="96">
        <v>49.130879999999898</v>
      </c>
      <c r="R30" s="96">
        <v>16.0798939999999</v>
      </c>
      <c r="S30" s="100" t="s">
        <v>52</v>
      </c>
      <c r="T30" s="103" t="s">
        <v>144</v>
      </c>
      <c r="U30" s="103" t="s">
        <v>422</v>
      </c>
      <c r="V30" s="103" t="s">
        <v>422</v>
      </c>
      <c r="W30" s="103" t="s">
        <v>339</v>
      </c>
    </row>
    <row r="31" spans="1:23" ht="15.75" customHeight="1">
      <c r="A31" s="96">
        <v>33</v>
      </c>
      <c r="B31" s="97" t="s">
        <v>27</v>
      </c>
      <c r="C31" s="96" t="s">
        <v>346</v>
      </c>
      <c r="D31" s="96" t="s">
        <v>347</v>
      </c>
      <c r="E31" s="96" t="s">
        <v>346</v>
      </c>
      <c r="F31" s="96" t="s">
        <v>348</v>
      </c>
      <c r="G31" s="99" t="s">
        <v>39</v>
      </c>
      <c r="H31" s="100" t="s">
        <v>40</v>
      </c>
      <c r="I31" s="101">
        <v>2003</v>
      </c>
      <c r="J31" s="102" t="str">
        <f>HYPERLINK("http://www.detenice.cz","http://www.detenice.cz")</f>
        <v>http://www.detenice.cz</v>
      </c>
      <c r="K31" s="102" t="str">
        <f>HYPERLINK("https://www.facebook.com/zamek.detenice","https://www.facebook.com/zamek.detenice")</f>
        <v>https://www.facebook.com/zamek.detenice</v>
      </c>
      <c r="L31" s="96" t="s">
        <v>349</v>
      </c>
      <c r="M31" s="96"/>
      <c r="N31" s="96" t="s">
        <v>351</v>
      </c>
      <c r="O31" s="96"/>
      <c r="P31" s="96" t="s">
        <v>7513</v>
      </c>
      <c r="Q31" s="96">
        <v>50.368966899999997</v>
      </c>
      <c r="R31" s="96">
        <v>15.1714989</v>
      </c>
      <c r="S31" s="100" t="s">
        <v>52</v>
      </c>
      <c r="T31" s="103" t="s">
        <v>207</v>
      </c>
      <c r="U31" s="103" t="s">
        <v>435</v>
      </c>
      <c r="V31" s="103" t="s">
        <v>435</v>
      </c>
      <c r="W31" s="103" t="s">
        <v>346</v>
      </c>
    </row>
    <row r="32" spans="1:23" ht="15.75" customHeight="1">
      <c r="A32" s="96">
        <v>34</v>
      </c>
      <c r="B32" s="97" t="s">
        <v>27</v>
      </c>
      <c r="C32" s="96" t="s">
        <v>355</v>
      </c>
      <c r="D32" s="96" t="s">
        <v>356</v>
      </c>
      <c r="E32" s="96" t="s">
        <v>357</v>
      </c>
      <c r="F32" s="96" t="s">
        <v>358</v>
      </c>
      <c r="G32" s="99" t="s">
        <v>39</v>
      </c>
      <c r="H32" s="100" t="s">
        <v>40</v>
      </c>
      <c r="I32" s="101">
        <v>1998</v>
      </c>
      <c r="J32" s="102" t="s">
        <v>359</v>
      </c>
      <c r="K32" s="102" t="str">
        <f>HYPERLINK("https://www.facebook.com/pivovarmodrahvezda","https://www.facebook.com/pivovarmodrahvezda")</f>
        <v>https://www.facebook.com/pivovarmodrahvezda</v>
      </c>
      <c r="L32" s="96" t="s">
        <v>360</v>
      </c>
      <c r="M32" s="96"/>
      <c r="N32" s="96" t="s">
        <v>362</v>
      </c>
      <c r="O32" s="96"/>
      <c r="P32" s="96" t="s">
        <v>7514</v>
      </c>
      <c r="Q32" s="96">
        <v>49.655427500000002</v>
      </c>
      <c r="R32" s="96">
        <v>13.290081900000001</v>
      </c>
      <c r="S32" s="100" t="s">
        <v>52</v>
      </c>
      <c r="T32" s="103" t="s">
        <v>217</v>
      </c>
      <c r="U32" s="103" t="s">
        <v>399</v>
      </c>
      <c r="V32" s="103" t="s">
        <v>444</v>
      </c>
      <c r="W32" s="103" t="s">
        <v>357</v>
      </c>
    </row>
    <row r="33" spans="1:23" ht="15.75" customHeight="1">
      <c r="A33" s="96">
        <v>35</v>
      </c>
      <c r="B33" s="97" t="s">
        <v>27</v>
      </c>
      <c r="C33" s="96" t="s">
        <v>331</v>
      </c>
      <c r="D33" s="96" t="s">
        <v>365</v>
      </c>
      <c r="E33" s="96" t="s">
        <v>331</v>
      </c>
      <c r="F33" s="96" t="s">
        <v>333</v>
      </c>
      <c r="G33" s="99" t="s">
        <v>39</v>
      </c>
      <c r="H33" s="100" t="s">
        <v>89</v>
      </c>
      <c r="I33" s="101" t="s">
        <v>445</v>
      </c>
      <c r="J33" s="96"/>
      <c r="K33" s="96"/>
      <c r="L33" s="96" t="s">
        <v>366</v>
      </c>
      <c r="M33" s="96"/>
      <c r="N33" s="96" t="s">
        <v>367</v>
      </c>
      <c r="O33" s="96"/>
      <c r="P33" s="96" t="s">
        <v>7515</v>
      </c>
      <c r="Q33" s="101">
        <v>49.956748099999999</v>
      </c>
      <c r="R33" s="101">
        <v>15.270965</v>
      </c>
      <c r="S33" s="100" t="s">
        <v>7447</v>
      </c>
      <c r="T33" s="103" t="s">
        <v>71</v>
      </c>
      <c r="U33" s="103" t="s">
        <v>331</v>
      </c>
      <c r="V33" s="103" t="s">
        <v>331</v>
      </c>
      <c r="W33" s="103" t="s">
        <v>331</v>
      </c>
    </row>
    <row r="34" spans="1:23" ht="15.75" customHeight="1">
      <c r="A34" s="96">
        <v>36</v>
      </c>
      <c r="B34" s="97" t="s">
        <v>27</v>
      </c>
      <c r="C34" s="96" t="s">
        <v>370</v>
      </c>
      <c r="D34" s="96" t="s">
        <v>371</v>
      </c>
      <c r="E34" s="96" t="s">
        <v>372</v>
      </c>
      <c r="F34" s="96" t="s">
        <v>373</v>
      </c>
      <c r="G34" s="99" t="s">
        <v>39</v>
      </c>
      <c r="H34" s="100" t="s">
        <v>78</v>
      </c>
      <c r="I34" s="101">
        <v>1649</v>
      </c>
      <c r="J34" s="102" t="str">
        <f>HYPERLINK("http://www.pivovar-strakonice.cz","http://www.pivovar-strakonice.cz")</f>
        <v>http://www.pivovar-strakonice.cz</v>
      </c>
      <c r="K34" s="102" t="s">
        <v>374</v>
      </c>
      <c r="L34" s="96" t="s">
        <v>375</v>
      </c>
      <c r="M34" s="96"/>
      <c r="N34" s="96" t="s">
        <v>377</v>
      </c>
      <c r="O34" s="96"/>
      <c r="P34" s="96" t="s">
        <v>7516</v>
      </c>
      <c r="Q34" s="96">
        <v>49.259583900000003</v>
      </c>
      <c r="R34" s="96">
        <v>13.897513099999999</v>
      </c>
      <c r="S34" s="100" t="s">
        <v>7447</v>
      </c>
      <c r="T34" s="103" t="s">
        <v>369</v>
      </c>
      <c r="U34" s="103" t="s">
        <v>372</v>
      </c>
      <c r="V34" s="103" t="s">
        <v>372</v>
      </c>
      <c r="W34" s="103" t="s">
        <v>372</v>
      </c>
    </row>
    <row r="35" spans="1:23" ht="15.75" customHeight="1">
      <c r="A35" s="96">
        <v>37</v>
      </c>
      <c r="B35" s="97" t="s">
        <v>27</v>
      </c>
      <c r="C35" s="96" t="s">
        <v>380</v>
      </c>
      <c r="D35" s="96" t="s">
        <v>381</v>
      </c>
      <c r="E35" s="96" t="s">
        <v>382</v>
      </c>
      <c r="F35" s="96" t="s">
        <v>383</v>
      </c>
      <c r="G35" s="99" t="s">
        <v>39</v>
      </c>
      <c r="H35" s="100" t="s">
        <v>40</v>
      </c>
      <c r="I35" s="101" t="s">
        <v>384</v>
      </c>
      <c r="J35" s="102" t="str">
        <f>HYPERLINK("http://www.hotelexcelent.cz","http://www.hotelexcelent.cz")</f>
        <v>http://www.hotelexcelent.cz</v>
      </c>
      <c r="K35" s="102" t="str">
        <f>HYPERLINK("https://www.facebook.com/hotelexcelent","https://www.facebook.com/hotelexcelent")</f>
        <v>https://www.facebook.com/hotelexcelent</v>
      </c>
      <c r="L35" s="96" t="s">
        <v>385</v>
      </c>
      <c r="M35" s="96"/>
      <c r="N35" s="96" t="s">
        <v>386</v>
      </c>
      <c r="O35" s="96"/>
      <c r="P35" s="96" t="s">
        <v>7517</v>
      </c>
      <c r="Q35" s="96">
        <v>49.930871400000001</v>
      </c>
      <c r="R35" s="96">
        <v>17.269795800000001</v>
      </c>
      <c r="S35" s="100" t="s">
        <v>52</v>
      </c>
      <c r="T35" s="103" t="s">
        <v>121</v>
      </c>
      <c r="U35" s="103" t="s">
        <v>466</v>
      </c>
      <c r="V35" s="103" t="s">
        <v>382</v>
      </c>
      <c r="W35" s="103" t="s">
        <v>382</v>
      </c>
    </row>
    <row r="36" spans="1:23" ht="15.75" customHeight="1">
      <c r="A36" s="96">
        <v>38</v>
      </c>
      <c r="B36" s="97" t="s">
        <v>27</v>
      </c>
      <c r="C36" s="96" t="s">
        <v>388</v>
      </c>
      <c r="D36" s="96" t="s">
        <v>389</v>
      </c>
      <c r="E36" s="96" t="s">
        <v>390</v>
      </c>
      <c r="F36" s="96" t="s">
        <v>391</v>
      </c>
      <c r="G36" s="99" t="s">
        <v>39</v>
      </c>
      <c r="H36" s="100" t="s">
        <v>40</v>
      </c>
      <c r="I36" s="101">
        <v>2012</v>
      </c>
      <c r="J36" s="102" t="str">
        <f>HYPERLINK("http://www.pivovar-faltus.cz","http://www.pivovar-faltus.cz")</f>
        <v>http://www.pivovar-faltus.cz</v>
      </c>
      <c r="K36" s="102" t="str">
        <f>HYPERLINK("https://www.facebook.com/RestauracePivovarFaltus","https://www.facebook.com/RestauracePivovarFaltus")</f>
        <v>https://www.facebook.com/RestauracePivovarFaltus</v>
      </c>
      <c r="L36" s="96" t="s">
        <v>392</v>
      </c>
      <c r="M36" s="96"/>
      <c r="N36" s="96" t="s">
        <v>394</v>
      </c>
      <c r="O36" s="102" t="s">
        <v>395</v>
      </c>
      <c r="P36" s="96" t="s">
        <v>7518</v>
      </c>
      <c r="Q36" s="96">
        <v>49.900830300000003</v>
      </c>
      <c r="R36" s="96">
        <v>16.449192499999999</v>
      </c>
      <c r="S36" s="100" t="s">
        <v>52</v>
      </c>
      <c r="T36" s="103" t="s">
        <v>483</v>
      </c>
      <c r="U36" s="103" t="s">
        <v>484</v>
      </c>
      <c r="V36" s="103" t="s">
        <v>390</v>
      </c>
      <c r="W36" s="103" t="s">
        <v>390</v>
      </c>
    </row>
    <row r="37" spans="1:23" ht="15.75" customHeight="1">
      <c r="A37" s="96">
        <v>39</v>
      </c>
      <c r="B37" s="97" t="s">
        <v>27</v>
      </c>
      <c r="C37" s="96" t="s">
        <v>397</v>
      </c>
      <c r="D37" s="96" t="s">
        <v>398</v>
      </c>
      <c r="E37" s="96" t="s">
        <v>400</v>
      </c>
      <c r="F37" s="96" t="s">
        <v>402</v>
      </c>
      <c r="G37" s="99" t="s">
        <v>39</v>
      </c>
      <c r="H37" s="100" t="s">
        <v>78</v>
      </c>
      <c r="I37" s="101">
        <v>1897</v>
      </c>
      <c r="J37" s="102" t="str">
        <f>HYPERLINK("http://www.pivovarferdinand.cz","http://www.pivovarferdinand.cz")</f>
        <v>http://www.pivovarferdinand.cz</v>
      </c>
      <c r="K37" s="102" t="str">
        <f>HYPERLINK("https://www.facebook.com/PivovarFerdinand","https://www.facebook.com/PivovarFerdinand")</f>
        <v>https://www.facebook.com/PivovarFerdinand</v>
      </c>
      <c r="L37" s="96" t="s">
        <v>404</v>
      </c>
      <c r="M37" s="96"/>
      <c r="N37" s="96" t="s">
        <v>406</v>
      </c>
      <c r="O37" s="96"/>
      <c r="P37" s="96" t="s">
        <v>7519</v>
      </c>
      <c r="Q37" s="96">
        <v>49.780094200000001</v>
      </c>
      <c r="R37" s="96">
        <v>14.6904717</v>
      </c>
      <c r="S37" s="100" t="s">
        <v>7447</v>
      </c>
      <c r="T37" s="103" t="s">
        <v>71</v>
      </c>
      <c r="U37" s="103" t="s">
        <v>400</v>
      </c>
      <c r="V37" s="103" t="s">
        <v>400</v>
      </c>
      <c r="W37" s="103" t="s">
        <v>400</v>
      </c>
    </row>
    <row r="38" spans="1:23" ht="15.75" customHeight="1">
      <c r="A38" s="96">
        <v>40</v>
      </c>
      <c r="B38" s="97" t="s">
        <v>27</v>
      </c>
      <c r="C38" s="96" t="s">
        <v>408</v>
      </c>
      <c r="D38" s="96" t="s">
        <v>409</v>
      </c>
      <c r="E38" s="96" t="s">
        <v>410</v>
      </c>
      <c r="F38" s="96" t="s">
        <v>411</v>
      </c>
      <c r="G38" s="99" t="s">
        <v>39</v>
      </c>
      <c r="H38" s="100" t="s">
        <v>89</v>
      </c>
      <c r="I38" s="101" t="s">
        <v>494</v>
      </c>
      <c r="J38" s="96" t="s">
        <v>412</v>
      </c>
      <c r="K38" s="96"/>
      <c r="L38" s="96" t="s">
        <v>413</v>
      </c>
      <c r="M38" s="96"/>
      <c r="N38" s="96" t="s">
        <v>415</v>
      </c>
      <c r="O38" s="96"/>
      <c r="P38" s="96" t="s">
        <v>7520</v>
      </c>
      <c r="Q38" s="101">
        <v>48.812323999999897</v>
      </c>
      <c r="R38" s="101">
        <v>14.319857000000001</v>
      </c>
      <c r="S38" s="100" t="s">
        <v>52</v>
      </c>
      <c r="T38" s="103" t="s">
        <v>369</v>
      </c>
      <c r="U38" s="103" t="s">
        <v>410</v>
      </c>
      <c r="V38" s="103" t="s">
        <v>410</v>
      </c>
      <c r="W38" s="103" t="s">
        <v>410</v>
      </c>
    </row>
    <row r="39" spans="1:23" ht="15.75" customHeight="1">
      <c r="A39" s="96">
        <v>41</v>
      </c>
      <c r="B39" s="97" t="s">
        <v>27</v>
      </c>
      <c r="C39" s="96" t="s">
        <v>417</v>
      </c>
      <c r="D39" s="96" t="s">
        <v>418</v>
      </c>
      <c r="E39" s="96" t="s">
        <v>419</v>
      </c>
      <c r="F39" s="96" t="s">
        <v>421</v>
      </c>
      <c r="G39" s="99" t="s">
        <v>39</v>
      </c>
      <c r="H39" s="100" t="s">
        <v>40</v>
      </c>
      <c r="I39" s="101">
        <v>1499</v>
      </c>
      <c r="J39" s="102" t="str">
        <f>HYPERLINK("http://www.ufleku.cz","http://www.ufleku.cz")</f>
        <v>http://www.ufleku.cz</v>
      </c>
      <c r="K39" s="102" t="str">
        <f>HYPERLINK("https://www.facebook.com/PivovararestauraceUFlekuOFFICIAL","https://www.facebook.com/PivovararestauraceUFlekuOFFICIAL")</f>
        <v>https://www.facebook.com/PivovararestauraceUFlekuOFFICIAL</v>
      </c>
      <c r="L39" s="96" t="s">
        <v>423</v>
      </c>
      <c r="M39" s="96"/>
      <c r="N39" s="96" t="s">
        <v>425</v>
      </c>
      <c r="O39" s="96"/>
      <c r="P39" s="96" t="s">
        <v>7521</v>
      </c>
      <c r="Q39" s="96">
        <v>50.078901899999998</v>
      </c>
      <c r="R39" s="96">
        <v>14.416914200000001</v>
      </c>
      <c r="S39" s="100" t="s">
        <v>7447</v>
      </c>
      <c r="T39" s="103" t="s">
        <v>58</v>
      </c>
      <c r="U39" s="103" t="s">
        <v>58</v>
      </c>
      <c r="V39" s="103" t="s">
        <v>58</v>
      </c>
      <c r="W39" s="103" t="s">
        <v>59</v>
      </c>
    </row>
    <row r="40" spans="1:23" ht="15.75" customHeight="1">
      <c r="A40" s="96">
        <v>42</v>
      </c>
      <c r="B40" s="97" t="s">
        <v>27</v>
      </c>
      <c r="C40" s="96" t="s">
        <v>427</v>
      </c>
      <c r="D40" s="96" t="s">
        <v>428</v>
      </c>
      <c r="E40" s="96" t="s">
        <v>429</v>
      </c>
      <c r="F40" s="96" t="s">
        <v>430</v>
      </c>
      <c r="G40" s="99" t="s">
        <v>39</v>
      </c>
      <c r="H40" s="100" t="s">
        <v>40</v>
      </c>
      <c r="I40" s="101">
        <v>1993</v>
      </c>
      <c r="J40" s="102" t="str">
        <f>HYPERLINK("http://www.pivovaravar.cz","http://www.pivovaravar.cz")</f>
        <v>http://www.pivovaravar.cz</v>
      </c>
      <c r="K40" s="96"/>
      <c r="L40" s="96" t="s">
        <v>431</v>
      </c>
      <c r="M40" s="96" t="s">
        <v>433</v>
      </c>
      <c r="N40" s="96" t="s">
        <v>427</v>
      </c>
      <c r="O40" s="96"/>
      <c r="P40" s="96" t="s">
        <v>7522</v>
      </c>
      <c r="Q40" s="96">
        <v>49.897821</v>
      </c>
      <c r="R40" s="96">
        <v>18.187376</v>
      </c>
      <c r="S40" s="100" t="s">
        <v>52</v>
      </c>
      <c r="T40" s="103" t="s">
        <v>121</v>
      </c>
      <c r="U40" s="103" t="s">
        <v>516</v>
      </c>
      <c r="V40" s="103" t="s">
        <v>429</v>
      </c>
      <c r="W40" s="103" t="s">
        <v>429</v>
      </c>
    </row>
    <row r="41" spans="1:23" ht="15.75" customHeight="1">
      <c r="A41" s="96">
        <v>43</v>
      </c>
      <c r="B41" s="97" t="s">
        <v>27</v>
      </c>
      <c r="C41" s="96" t="s">
        <v>436</v>
      </c>
      <c r="D41" s="96" t="s">
        <v>437</v>
      </c>
      <c r="E41" s="96" t="s">
        <v>438</v>
      </c>
      <c r="F41" s="96" t="s">
        <v>439</v>
      </c>
      <c r="G41" s="99" t="s">
        <v>39</v>
      </c>
      <c r="H41" s="100" t="s">
        <v>40</v>
      </c>
      <c r="I41" s="101">
        <v>2013</v>
      </c>
      <c r="J41" s="102" t="str">
        <f>HYPERLINK("https://www.garageclub.cz","https://www.garageclub.cz")</f>
        <v>https://www.garageclub.cz</v>
      </c>
      <c r="K41" s="102" t="str">
        <f>HYPERLINK("https://www.facebook.com/GarageClubMartinov","https://www.facebook.com/GarageClubMartinov")</f>
        <v>https://www.facebook.com/GarageClubMartinov</v>
      </c>
      <c r="L41" s="96" t="s">
        <v>440</v>
      </c>
      <c r="M41" s="96"/>
      <c r="N41" s="96" t="s">
        <v>442</v>
      </c>
      <c r="O41" s="96"/>
      <c r="P41" s="96" t="s">
        <v>7523</v>
      </c>
      <c r="Q41" s="96">
        <v>49.854301999999898</v>
      </c>
      <c r="R41" s="96">
        <v>18.183297</v>
      </c>
      <c r="S41" s="100" t="s">
        <v>52</v>
      </c>
      <c r="T41" s="103" t="s">
        <v>121</v>
      </c>
      <c r="U41" s="103" t="s">
        <v>122</v>
      </c>
      <c r="V41" s="103" t="s">
        <v>123</v>
      </c>
      <c r="W41" s="103" t="s">
        <v>123</v>
      </c>
    </row>
    <row r="42" spans="1:23" ht="15.75" customHeight="1">
      <c r="A42" s="96">
        <v>44</v>
      </c>
      <c r="B42" s="97" t="s">
        <v>27</v>
      </c>
      <c r="C42" s="96" t="s">
        <v>446</v>
      </c>
      <c r="D42" s="96" t="s">
        <v>447</v>
      </c>
      <c r="E42" s="96" t="s">
        <v>448</v>
      </c>
      <c r="F42" s="96" t="s">
        <v>449</v>
      </c>
      <c r="G42" s="99" t="s">
        <v>39</v>
      </c>
      <c r="H42" s="100" t="s">
        <v>40</v>
      </c>
      <c r="I42" s="101">
        <v>2013</v>
      </c>
      <c r="J42" s="102" t="str">
        <f>HYPERLINK("http://www.svachovka.cz","http://www.svachovka.cz")</f>
        <v>http://www.svachovka.cz</v>
      </c>
      <c r="K42" s="102" t="str">
        <f>HYPERLINK("https://www.facebook.com/gloknerpivovar","https://www.facebook.com/gloknerpivovar")</f>
        <v>https://www.facebook.com/gloknerpivovar</v>
      </c>
      <c r="L42" s="96" t="s">
        <v>450</v>
      </c>
      <c r="M42" s="96"/>
      <c r="N42" s="96" t="s">
        <v>452</v>
      </c>
      <c r="O42" s="96"/>
      <c r="P42" s="96" t="s">
        <v>7524</v>
      </c>
      <c r="Q42" s="96">
        <v>48.827132800000001</v>
      </c>
      <c r="R42" s="96">
        <v>14.363435300000001</v>
      </c>
      <c r="S42" s="100" t="s">
        <v>7447</v>
      </c>
      <c r="T42" s="103" t="s">
        <v>369</v>
      </c>
      <c r="U42" s="103" t="s">
        <v>410</v>
      </c>
      <c r="V42" s="103" t="s">
        <v>410</v>
      </c>
      <c r="W42" s="103" t="s">
        <v>548</v>
      </c>
    </row>
    <row r="43" spans="1:23" ht="15.75" customHeight="1">
      <c r="A43" s="96">
        <v>45</v>
      </c>
      <c r="B43" s="97" t="s">
        <v>27</v>
      </c>
      <c r="C43" s="96" t="s">
        <v>454</v>
      </c>
      <c r="D43" s="96" t="s">
        <v>455</v>
      </c>
      <c r="E43" s="96" t="s">
        <v>456</v>
      </c>
      <c r="F43" s="96" t="s">
        <v>457</v>
      </c>
      <c r="G43" s="99" t="s">
        <v>39</v>
      </c>
      <c r="H43" s="100" t="s">
        <v>40</v>
      </c>
      <c r="I43" s="101">
        <v>2004</v>
      </c>
      <c r="J43" s="102" t="str">
        <f>HYPERLINK("http://www.jelinkovavila.cz","http://www.jelinkovavila.cz")</f>
        <v>http://www.jelinkovavila.cz</v>
      </c>
      <c r="K43" s="102" t="str">
        <f>HYPERLINK("https://www.facebook.com/HotelPivovarJelinkovaVila","https://www.facebook.com/HotelPivovarJelinkovaVila")</f>
        <v>https://www.facebook.com/HotelPivovarJelinkovaVila</v>
      </c>
      <c r="L43" s="96" t="s">
        <v>458</v>
      </c>
      <c r="M43" s="96"/>
      <c r="N43" s="96" t="s">
        <v>460</v>
      </c>
      <c r="O43" s="96"/>
      <c r="P43" s="96" t="s">
        <v>7525</v>
      </c>
      <c r="Q43" s="96">
        <v>49.354737</v>
      </c>
      <c r="R43" s="96">
        <v>16.010083000000002</v>
      </c>
      <c r="S43" s="100" t="s">
        <v>52</v>
      </c>
      <c r="T43" s="103" t="s">
        <v>144</v>
      </c>
      <c r="U43" s="103" t="s">
        <v>564</v>
      </c>
      <c r="V43" s="103" t="s">
        <v>456</v>
      </c>
      <c r="W43" s="103" t="s">
        <v>456</v>
      </c>
    </row>
    <row r="44" spans="1:23" ht="15.75" customHeight="1">
      <c r="A44" s="96">
        <v>46</v>
      </c>
      <c r="B44" s="97" t="s">
        <v>27</v>
      </c>
      <c r="C44" s="96" t="s">
        <v>462</v>
      </c>
      <c r="D44" s="96" t="s">
        <v>463</v>
      </c>
      <c r="E44" s="96" t="s">
        <v>464</v>
      </c>
      <c r="F44" s="96" t="s">
        <v>465</v>
      </c>
      <c r="G44" s="99" t="s">
        <v>39</v>
      </c>
      <c r="H44" s="100" t="s">
        <v>40</v>
      </c>
      <c r="I44" s="101">
        <v>2006</v>
      </c>
      <c r="J44" s="102" t="str">
        <f>HYPERLINK("http://www.pivohastrman.cz","http://www.pivohastrman.cz")</f>
        <v>http://www.pivohastrman.cz</v>
      </c>
      <c r="K44" s="96"/>
      <c r="L44" s="96" t="s">
        <v>467</v>
      </c>
      <c r="M44" s="96"/>
      <c r="N44" s="96" t="s">
        <v>468</v>
      </c>
      <c r="O44" s="96"/>
      <c r="P44" s="96" t="s">
        <v>7526</v>
      </c>
      <c r="Q44" s="96">
        <v>50.2878919999999</v>
      </c>
      <c r="R44" s="96">
        <v>12.865694</v>
      </c>
      <c r="S44" s="100" t="s">
        <v>52</v>
      </c>
      <c r="T44" s="103" t="s">
        <v>573</v>
      </c>
      <c r="U44" s="103" t="s">
        <v>574</v>
      </c>
      <c r="V44" s="103" t="s">
        <v>575</v>
      </c>
      <c r="W44" s="103" t="s">
        <v>576</v>
      </c>
    </row>
    <row r="45" spans="1:23" ht="15.75" customHeight="1">
      <c r="A45" s="96">
        <v>47</v>
      </c>
      <c r="B45" s="97" t="s">
        <v>27</v>
      </c>
      <c r="C45" s="96" t="s">
        <v>471</v>
      </c>
      <c r="D45" s="96" t="s">
        <v>472</v>
      </c>
      <c r="E45" s="96" t="s">
        <v>473</v>
      </c>
      <c r="F45" s="96" t="s">
        <v>474</v>
      </c>
      <c r="G45" s="99" t="s">
        <v>39</v>
      </c>
      <c r="H45" s="100" t="s">
        <v>89</v>
      </c>
      <c r="I45" s="101" t="s">
        <v>578</v>
      </c>
      <c r="J45" s="96"/>
      <c r="K45" s="96"/>
      <c r="L45" s="96" t="s">
        <v>475</v>
      </c>
      <c r="M45" s="96"/>
      <c r="N45" s="96" t="s">
        <v>477</v>
      </c>
      <c r="O45" s="96"/>
      <c r="P45" s="96" t="s">
        <v>7527</v>
      </c>
      <c r="Q45" s="101">
        <v>50.283774700000002</v>
      </c>
      <c r="R45" s="101">
        <v>13.0098825</v>
      </c>
      <c r="S45" s="100" t="s">
        <v>7447</v>
      </c>
      <c r="T45" s="103" t="s">
        <v>573</v>
      </c>
      <c r="U45" s="103" t="s">
        <v>574</v>
      </c>
      <c r="V45" s="103" t="s">
        <v>575</v>
      </c>
      <c r="W45" s="103" t="s">
        <v>473</v>
      </c>
    </row>
    <row r="46" spans="1:23" ht="15.75" customHeight="1">
      <c r="A46" s="96">
        <v>48</v>
      </c>
      <c r="B46" s="97" t="s">
        <v>27</v>
      </c>
      <c r="C46" s="96" t="s">
        <v>479</v>
      </c>
      <c r="D46" s="96" t="s">
        <v>480</v>
      </c>
      <c r="E46" s="96" t="s">
        <v>481</v>
      </c>
      <c r="F46" s="96" t="s">
        <v>482</v>
      </c>
      <c r="G46" s="99" t="s">
        <v>39</v>
      </c>
      <c r="H46" s="100" t="s">
        <v>60</v>
      </c>
      <c r="I46" s="101">
        <v>2012</v>
      </c>
      <c r="J46" s="102" t="str">
        <f>HYPERLINK("http://www.pivohendrych.cz","http://www.pivohendrych.cz")</f>
        <v>http://www.pivohendrych.cz</v>
      </c>
      <c r="K46" s="102" t="str">
        <f>HYPERLINK("https://www.facebook.com/PivoHendrych","https://www.facebook.com/PivoHendrych")</f>
        <v>https://www.facebook.com/PivoHendrych</v>
      </c>
      <c r="L46" s="96" t="s">
        <v>485</v>
      </c>
      <c r="M46" s="96"/>
      <c r="N46" s="96" t="s">
        <v>487</v>
      </c>
      <c r="O46" s="96"/>
      <c r="P46" s="96" t="s">
        <v>7528</v>
      </c>
      <c r="Q46" s="96">
        <v>50.654902</v>
      </c>
      <c r="R46" s="96">
        <v>15.603268</v>
      </c>
      <c r="S46" s="100" t="s">
        <v>7447</v>
      </c>
      <c r="T46" s="103" t="s">
        <v>207</v>
      </c>
      <c r="U46" s="103" t="s">
        <v>586</v>
      </c>
      <c r="V46" s="103" t="s">
        <v>481</v>
      </c>
      <c r="W46" s="103" t="s">
        <v>481</v>
      </c>
    </row>
    <row r="47" spans="1:23" ht="15.75" customHeight="1">
      <c r="A47" s="96">
        <v>49</v>
      </c>
      <c r="B47" s="97" t="s">
        <v>27</v>
      </c>
      <c r="C47" s="96" t="s">
        <v>489</v>
      </c>
      <c r="D47" s="96" t="s">
        <v>490</v>
      </c>
      <c r="E47" s="96" t="s">
        <v>491</v>
      </c>
      <c r="F47" s="96" t="s">
        <v>492</v>
      </c>
      <c r="G47" s="99" t="s">
        <v>39</v>
      </c>
      <c r="H47" s="100" t="s">
        <v>69</v>
      </c>
      <c r="I47" s="101">
        <v>1506</v>
      </c>
      <c r="J47" s="102" t="str">
        <f>HYPERLINK("http://www.pivovar-herold.cz","http://www.pivovar-herold.cz")</f>
        <v>http://www.pivovar-herold.cz</v>
      </c>
      <c r="K47" s="102" t="str">
        <f>HYPERLINK("https://www.facebook.com/pivovarherold","https://www.facebook.com/pivovarherold")</f>
        <v>https://www.facebook.com/pivovarherold</v>
      </c>
      <c r="L47" s="96" t="s">
        <v>493</v>
      </c>
      <c r="M47" s="96"/>
      <c r="N47" s="96" t="s">
        <v>489</v>
      </c>
      <c r="O47" s="96"/>
      <c r="P47" s="96" t="s">
        <v>7529</v>
      </c>
      <c r="Q47" s="96">
        <v>49.557478099999997</v>
      </c>
      <c r="R47" s="96">
        <v>13.958534200000001</v>
      </c>
      <c r="S47" s="100" t="s">
        <v>7447</v>
      </c>
      <c r="T47" s="103" t="s">
        <v>71</v>
      </c>
      <c r="U47" s="103" t="s">
        <v>195</v>
      </c>
      <c r="V47" s="103" t="s">
        <v>195</v>
      </c>
      <c r="W47" s="103" t="s">
        <v>491</v>
      </c>
    </row>
    <row r="48" spans="1:23" ht="15.75" customHeight="1">
      <c r="A48" s="96">
        <v>50</v>
      </c>
      <c r="B48" s="97" t="s">
        <v>27</v>
      </c>
      <c r="C48" s="96" t="s">
        <v>497</v>
      </c>
      <c r="D48" s="96" t="s">
        <v>498</v>
      </c>
      <c r="E48" s="96" t="s">
        <v>499</v>
      </c>
      <c r="F48" s="96" t="s">
        <v>500</v>
      </c>
      <c r="G48" s="99" t="s">
        <v>39</v>
      </c>
      <c r="H48" s="100" t="s">
        <v>78</v>
      </c>
      <c r="I48" s="101">
        <v>1874</v>
      </c>
      <c r="J48" s="102" t="str">
        <f>HYPERLINK("http://www.holba.cz","http://www.holba.cz")</f>
        <v>http://www.holba.cz</v>
      </c>
      <c r="K48" s="102" t="str">
        <f>HYPERLINK("https://www.facebook.com/PivovarHolba","https://www.facebook.com/PivovarHolba")</f>
        <v>https://www.facebook.com/PivovarHolba</v>
      </c>
      <c r="L48" s="96" t="s">
        <v>501</v>
      </c>
      <c r="M48" s="96"/>
      <c r="N48" s="96" t="s">
        <v>504</v>
      </c>
      <c r="O48" s="96"/>
      <c r="P48" s="96" t="s">
        <v>7530</v>
      </c>
      <c r="Q48" s="96">
        <v>50.069924999999898</v>
      </c>
      <c r="R48" s="96">
        <v>16.9276909999999</v>
      </c>
      <c r="S48" s="100" t="s">
        <v>7447</v>
      </c>
      <c r="T48" s="103" t="s">
        <v>312</v>
      </c>
      <c r="U48" s="103" t="s">
        <v>313</v>
      </c>
      <c r="V48" s="103" t="s">
        <v>313</v>
      </c>
      <c r="W48" s="103" t="s">
        <v>499</v>
      </c>
    </row>
    <row r="49" spans="1:23" ht="15.75" customHeight="1">
      <c r="A49" s="96">
        <v>51</v>
      </c>
      <c r="B49" s="97" t="s">
        <v>27</v>
      </c>
      <c r="C49" s="96" t="s">
        <v>506</v>
      </c>
      <c r="D49" s="96" t="s">
        <v>507</v>
      </c>
      <c r="E49" s="96" t="s">
        <v>508</v>
      </c>
      <c r="F49" s="96" t="s">
        <v>509</v>
      </c>
      <c r="G49" s="99" t="s">
        <v>39</v>
      </c>
      <c r="H49" s="100" t="s">
        <v>40</v>
      </c>
      <c r="I49" s="101">
        <v>2013</v>
      </c>
      <c r="J49" s="102" t="str">
        <f t="shared" ref="J49:J50" si="0">HYPERLINK("http://www.pivovar-hostivar.cz","http://www.pivovar-hostivar.cz")</f>
        <v>http://www.pivovar-hostivar.cz</v>
      </c>
      <c r="K49" s="102" t="str">
        <f t="shared" ref="K49:K50" si="1">HYPERLINK("https://www.facebook.com/Hostivar","https://www.facebook.com/Hostivar")</f>
        <v>https://www.facebook.com/Hostivar</v>
      </c>
      <c r="L49" s="96" t="s">
        <v>510</v>
      </c>
      <c r="M49" s="96"/>
      <c r="N49" s="96" t="s">
        <v>506</v>
      </c>
      <c r="O49" s="96"/>
      <c r="P49" s="96" t="s">
        <v>7531</v>
      </c>
      <c r="Q49" s="96">
        <v>50.046368899999997</v>
      </c>
      <c r="R49" s="96">
        <v>14.5493519</v>
      </c>
      <c r="S49" s="100" t="s">
        <v>52</v>
      </c>
      <c r="T49" s="103" t="s">
        <v>58</v>
      </c>
      <c r="U49" s="103" t="s">
        <v>58</v>
      </c>
      <c r="V49" s="103" t="s">
        <v>58</v>
      </c>
      <c r="W49" s="103" t="s">
        <v>59</v>
      </c>
    </row>
    <row r="50" spans="1:23" ht="15.75" customHeight="1">
      <c r="A50" s="96">
        <v>52</v>
      </c>
      <c r="B50" s="97" t="s">
        <v>27</v>
      </c>
      <c r="C50" s="96" t="s">
        <v>8013</v>
      </c>
      <c r="D50" s="96" t="s">
        <v>7445</v>
      </c>
      <c r="E50" s="96" t="s">
        <v>508</v>
      </c>
      <c r="F50" s="96" t="s">
        <v>515</v>
      </c>
      <c r="G50" s="99" t="s">
        <v>39</v>
      </c>
      <c r="H50" s="100" t="s">
        <v>40</v>
      </c>
      <c r="I50" s="101">
        <v>2017</v>
      </c>
      <c r="J50" s="102" t="str">
        <f t="shared" si="0"/>
        <v>http://www.pivovar-hostivar.cz</v>
      </c>
      <c r="K50" s="102" t="str">
        <f t="shared" si="1"/>
        <v>https://www.facebook.com/Hostivar</v>
      </c>
      <c r="L50" s="96" t="s">
        <v>517</v>
      </c>
      <c r="M50" s="96"/>
      <c r="N50" s="96" t="s">
        <v>506</v>
      </c>
      <c r="O50" s="96"/>
      <c r="P50" s="96" t="s">
        <v>518</v>
      </c>
      <c r="Q50" s="96">
        <v>50.049411399999997</v>
      </c>
      <c r="R50" s="96">
        <v>14.5618053</v>
      </c>
      <c r="S50" s="100" t="s">
        <v>7447</v>
      </c>
      <c r="T50" s="103" t="s">
        <v>58</v>
      </c>
      <c r="U50" s="103" t="s">
        <v>58</v>
      </c>
      <c r="V50" s="103" t="s">
        <v>58</v>
      </c>
      <c r="W50" s="103" t="s">
        <v>59</v>
      </c>
    </row>
    <row r="51" spans="1:23" ht="15.75" customHeight="1">
      <c r="A51" s="96">
        <v>53</v>
      </c>
      <c r="B51" s="97" t="s">
        <v>27</v>
      </c>
      <c r="C51" s="96" t="s">
        <v>519</v>
      </c>
      <c r="D51" s="96" t="s">
        <v>520</v>
      </c>
      <c r="E51" s="96" t="s">
        <v>521</v>
      </c>
      <c r="F51" s="96" t="s">
        <v>522</v>
      </c>
      <c r="G51" s="99" t="s">
        <v>39</v>
      </c>
      <c r="H51" s="100" t="s">
        <v>78</v>
      </c>
      <c r="I51" s="101">
        <v>2001</v>
      </c>
      <c r="J51" s="102" t="str">
        <f>HYPERLINK("http://www.pivovarkacov.cz","http://www.pivovarkacov.cz")</f>
        <v>http://www.pivovarkacov.cz</v>
      </c>
      <c r="K51" s="102" t="str">
        <f>HYPERLINK("https://www.facebook.com/PivovarHubertus","https://www.facebook.com/PivovarHubertus")</f>
        <v>https://www.facebook.com/PivovarHubertus</v>
      </c>
      <c r="L51" s="96" t="s">
        <v>523</v>
      </c>
      <c r="M51" s="96"/>
      <c r="N51" s="96" t="s">
        <v>519</v>
      </c>
      <c r="O51" s="102" t="s">
        <v>525</v>
      </c>
      <c r="P51" s="96" t="s">
        <v>7532</v>
      </c>
      <c r="Q51" s="96">
        <v>49.776848000000001</v>
      </c>
      <c r="R51" s="96">
        <v>15.02938</v>
      </c>
      <c r="S51" s="100" t="s">
        <v>52</v>
      </c>
      <c r="T51" s="103" t="s">
        <v>71</v>
      </c>
      <c r="U51" s="103" t="s">
        <v>331</v>
      </c>
      <c r="V51" s="103" t="s">
        <v>331</v>
      </c>
      <c r="W51" s="103" t="s">
        <v>521</v>
      </c>
    </row>
    <row r="52" spans="1:23" ht="15.75" customHeight="1">
      <c r="A52" s="96">
        <v>54</v>
      </c>
      <c r="B52" s="97" t="s">
        <v>27</v>
      </c>
      <c r="C52" s="96" t="s">
        <v>527</v>
      </c>
      <c r="D52" s="96" t="s">
        <v>528</v>
      </c>
      <c r="E52" s="96" t="s">
        <v>529</v>
      </c>
      <c r="F52" s="96" t="s">
        <v>530</v>
      </c>
      <c r="G52" s="99" t="s">
        <v>39</v>
      </c>
      <c r="H52" s="100" t="s">
        <v>40</v>
      </c>
      <c r="I52" s="101">
        <v>2003</v>
      </c>
      <c r="J52" s="102" t="str">
        <f>HYPERLINK("http://www.pivovar-hukvaldy.cz","http://www.pivovar-hukvaldy.cz")</f>
        <v>http://www.pivovar-hukvaldy.cz</v>
      </c>
      <c r="K52" s="102" t="str">
        <f>HYPERLINK("https://www.facebook.com/Minipivovar-Hukvaldy-173650509347200","https://www.facebook.com/Minipivovar-Hukvaldy-173650509347200")</f>
        <v>https://www.facebook.com/Minipivovar-Hukvaldy-173650509347200</v>
      </c>
      <c r="L52" s="96" t="s">
        <v>531</v>
      </c>
      <c r="M52" s="96"/>
      <c r="N52" s="96" t="s">
        <v>532</v>
      </c>
      <c r="O52" s="96" t="s">
        <v>534</v>
      </c>
      <c r="P52" s="96" t="s">
        <v>7533</v>
      </c>
      <c r="Q52" s="96">
        <v>49.634157500000001</v>
      </c>
      <c r="R52" s="96">
        <v>18.2164225</v>
      </c>
      <c r="S52" s="100" t="s">
        <v>52</v>
      </c>
      <c r="T52" s="103" t="s">
        <v>121</v>
      </c>
      <c r="U52" s="103" t="s">
        <v>259</v>
      </c>
      <c r="V52" s="103" t="s">
        <v>259</v>
      </c>
      <c r="W52" s="103" t="s">
        <v>527</v>
      </c>
    </row>
    <row r="53" spans="1:23" ht="15.75" customHeight="1">
      <c r="A53" s="96">
        <v>55</v>
      </c>
      <c r="B53" s="97" t="s">
        <v>27</v>
      </c>
      <c r="C53" s="96" t="s">
        <v>536</v>
      </c>
      <c r="D53" s="96" t="s">
        <v>537</v>
      </c>
      <c r="E53" s="96" t="s">
        <v>538</v>
      </c>
      <c r="F53" s="96" t="s">
        <v>539</v>
      </c>
      <c r="G53" s="99" t="s">
        <v>39</v>
      </c>
      <c r="H53" s="100" t="s">
        <v>40</v>
      </c>
      <c r="I53" s="101">
        <v>2013</v>
      </c>
      <c r="J53" s="102" t="str">
        <f>HYPERLINK("http://www.pivochalupnik.cz","http://www.pivochalupnik.cz")</f>
        <v>http://www.pivochalupnik.cz</v>
      </c>
      <c r="K53" s="102" t="str">
        <f>HYPERLINK("https://www.facebook.com/PivoChalupnik","https://www.facebook.com/PivoChalupnik")</f>
        <v>https://www.facebook.com/PivoChalupnik</v>
      </c>
      <c r="L53" s="96" t="s">
        <v>540</v>
      </c>
      <c r="M53" s="96"/>
      <c r="N53" s="96" t="s">
        <v>542</v>
      </c>
      <c r="O53" s="96"/>
      <c r="P53" s="96" t="s">
        <v>7534</v>
      </c>
      <c r="Q53" s="96">
        <v>50.383850000000002</v>
      </c>
      <c r="R53" s="96">
        <v>13.111033300000001</v>
      </c>
      <c r="S53" s="100" t="s">
        <v>52</v>
      </c>
      <c r="T53" s="103" t="s">
        <v>353</v>
      </c>
      <c r="U53" s="103" t="s">
        <v>638</v>
      </c>
      <c r="V53" s="103" t="s">
        <v>639</v>
      </c>
      <c r="W53" s="103" t="s">
        <v>538</v>
      </c>
    </row>
    <row r="54" spans="1:23" ht="15.75" customHeight="1">
      <c r="A54" s="96">
        <v>56</v>
      </c>
      <c r="B54" s="97" t="s">
        <v>27</v>
      </c>
      <c r="C54" s="96" t="s">
        <v>544</v>
      </c>
      <c r="D54" s="96" t="s">
        <v>545</v>
      </c>
      <c r="E54" s="96" t="s">
        <v>546</v>
      </c>
      <c r="F54" s="96" t="s">
        <v>547</v>
      </c>
      <c r="G54" s="99" t="s">
        <v>39</v>
      </c>
      <c r="H54" s="100" t="s">
        <v>78</v>
      </c>
      <c r="I54" s="101">
        <v>1573</v>
      </c>
      <c r="J54" s="102" t="str">
        <f>HYPERLINK("http://www.chodovar.cz","http://www.chodovar.cz")</f>
        <v>http://www.chodovar.cz</v>
      </c>
      <c r="K54" s="102" t="str">
        <f>HYPERLINK("https://www.facebook.com/ChodovarCZ","https://www.facebook.com/ChodovarCZ")</f>
        <v>https://www.facebook.com/ChodovarCZ</v>
      </c>
      <c r="L54" s="96" t="s">
        <v>549</v>
      </c>
      <c r="M54" s="96"/>
      <c r="N54" s="96" t="s">
        <v>551</v>
      </c>
      <c r="O54" s="96"/>
      <c r="P54" s="96" t="s">
        <v>7535</v>
      </c>
      <c r="Q54" s="96">
        <v>49.893472199999998</v>
      </c>
      <c r="R54" s="96">
        <v>12.7274133</v>
      </c>
      <c r="S54" s="100" t="s">
        <v>7447</v>
      </c>
      <c r="T54" s="103" t="s">
        <v>217</v>
      </c>
      <c r="U54" s="103" t="s">
        <v>647</v>
      </c>
      <c r="V54" s="103" t="s">
        <v>647</v>
      </c>
      <c r="W54" s="103" t="s">
        <v>546</v>
      </c>
    </row>
    <row r="55" spans="1:23" ht="15.75" customHeight="1">
      <c r="A55" s="96">
        <v>57</v>
      </c>
      <c r="B55" s="97" t="s">
        <v>27</v>
      </c>
      <c r="C55" s="96" t="s">
        <v>553</v>
      </c>
      <c r="D55" s="96" t="s">
        <v>554</v>
      </c>
      <c r="E55" s="96" t="s">
        <v>555</v>
      </c>
      <c r="F55" s="96" t="s">
        <v>556</v>
      </c>
      <c r="G55" s="99" t="s">
        <v>39</v>
      </c>
      <c r="H55" s="100" t="s">
        <v>89</v>
      </c>
      <c r="I55" s="101" t="s">
        <v>648</v>
      </c>
      <c r="J55" s="96" t="s">
        <v>557</v>
      </c>
      <c r="K55" s="96"/>
      <c r="L55" s="96" t="s">
        <v>558</v>
      </c>
      <c r="M55" s="96" t="s">
        <v>559</v>
      </c>
      <c r="N55" s="96" t="s">
        <v>553</v>
      </c>
      <c r="O55" s="96"/>
      <c r="P55" s="96" t="s">
        <v>7536</v>
      </c>
      <c r="Q55" s="101">
        <v>48.856232499999997</v>
      </c>
      <c r="R55" s="101">
        <v>16.045101899999999</v>
      </c>
      <c r="S55" s="100" t="s">
        <v>7447</v>
      </c>
      <c r="T55" s="103" t="s">
        <v>325</v>
      </c>
      <c r="U55" s="103" t="s">
        <v>555</v>
      </c>
      <c r="V55" s="103" t="s">
        <v>555</v>
      </c>
      <c r="W55" s="103" t="s">
        <v>555</v>
      </c>
    </row>
    <row r="56" spans="1:23" ht="15.75" customHeight="1">
      <c r="A56" s="96">
        <v>58</v>
      </c>
      <c r="B56" s="97" t="s">
        <v>27</v>
      </c>
      <c r="C56" s="96" t="s">
        <v>561</v>
      </c>
      <c r="D56" s="96" t="s">
        <v>562</v>
      </c>
      <c r="E56" s="96" t="s">
        <v>561</v>
      </c>
      <c r="F56" s="96" t="s">
        <v>563</v>
      </c>
      <c r="G56" s="99" t="s">
        <v>39</v>
      </c>
      <c r="H56" s="100" t="s">
        <v>78</v>
      </c>
      <c r="I56" s="101">
        <v>2009</v>
      </c>
      <c r="J56" s="102" t="str">
        <f>HYPERLINK("http://www.pivovarchotebor.cz","http://www.pivovarchotebor.cz")</f>
        <v>http://www.pivovarchotebor.cz</v>
      </c>
      <c r="K56" s="102" t="s">
        <v>565</v>
      </c>
      <c r="L56" s="96" t="s">
        <v>566</v>
      </c>
      <c r="M56" s="96"/>
      <c r="N56" s="96" t="s">
        <v>568</v>
      </c>
      <c r="O56" s="96"/>
      <c r="P56" s="96" t="s">
        <v>7537</v>
      </c>
      <c r="Q56" s="96">
        <v>49.709472499999997</v>
      </c>
      <c r="R56" s="96">
        <v>15.69627</v>
      </c>
      <c r="S56" s="100" t="s">
        <v>52</v>
      </c>
      <c r="T56" s="103" t="s">
        <v>144</v>
      </c>
      <c r="U56" s="103" t="s">
        <v>135</v>
      </c>
      <c r="V56" s="103" t="s">
        <v>561</v>
      </c>
      <c r="W56" s="103" t="s">
        <v>561</v>
      </c>
    </row>
    <row r="57" spans="1:23" ht="15.75" customHeight="1">
      <c r="A57" s="96">
        <v>59</v>
      </c>
      <c r="B57" s="97" t="s">
        <v>27</v>
      </c>
      <c r="C57" s="96" t="s">
        <v>570</v>
      </c>
      <c r="D57" s="96" t="s">
        <v>571</v>
      </c>
      <c r="E57" s="96" t="s">
        <v>570</v>
      </c>
      <c r="F57" s="96" t="s">
        <v>572</v>
      </c>
      <c r="G57" s="99" t="s">
        <v>39</v>
      </c>
      <c r="H57" s="100" t="s">
        <v>69</v>
      </c>
      <c r="I57" s="101">
        <v>2012</v>
      </c>
      <c r="J57" s="102" t="str">
        <f>HYPERLINK("http://www.pivovarchotoviny.cz","http://www.pivovarchotoviny.cz")</f>
        <v>http://www.pivovarchotoviny.cz</v>
      </c>
      <c r="K57" s="102" t="str">
        <f>HYPERLINK("https://www.facebook.com/Pivovar-Mayzus-Chotoviny-301654473285343","https://www.facebook.com/Pivovar-Mayzus-Chotoviny-301654473285343")</f>
        <v>https://www.facebook.com/Pivovar-Mayzus-Chotoviny-301654473285343</v>
      </c>
      <c r="L57" s="96" t="s">
        <v>577</v>
      </c>
      <c r="M57" s="96"/>
      <c r="N57" s="96" t="s">
        <v>580</v>
      </c>
      <c r="O57" s="96"/>
      <c r="P57" s="96" t="s">
        <v>7538</v>
      </c>
      <c r="Q57" s="96">
        <v>49.478971000000001</v>
      </c>
      <c r="R57" s="96">
        <v>14.6810949999999</v>
      </c>
      <c r="S57" s="100" t="s">
        <v>7447</v>
      </c>
      <c r="T57" s="103" t="s">
        <v>369</v>
      </c>
      <c r="U57" s="103" t="s">
        <v>674</v>
      </c>
      <c r="V57" s="103" t="s">
        <v>674</v>
      </c>
      <c r="W57" s="103" t="s">
        <v>570</v>
      </c>
    </row>
    <row r="58" spans="1:23" ht="15.75" customHeight="1">
      <c r="A58" s="96">
        <v>60</v>
      </c>
      <c r="B58" s="97" t="s">
        <v>27</v>
      </c>
      <c r="C58" s="96" t="s">
        <v>582</v>
      </c>
      <c r="D58" s="96" t="s">
        <v>583</v>
      </c>
      <c r="E58" s="96" t="s">
        <v>584</v>
      </c>
      <c r="F58" s="96" t="s">
        <v>585</v>
      </c>
      <c r="G58" s="99" t="s">
        <v>39</v>
      </c>
      <c r="H58" s="100" t="s">
        <v>40</v>
      </c>
      <c r="I58" s="101">
        <v>2012</v>
      </c>
      <c r="J58" s="102" t="str">
        <f>HYPERLINK("http://www.restauracestaraskola.cz","http://www.restauracestaraskola.cz")</f>
        <v>http://www.restauracestaraskola.cz</v>
      </c>
      <c r="K58" s="102" t="str">
        <f>HYPERLINK("https://www.facebook.com/PivovarARestauraceStaraSkola","https://www.facebook.com/PivovarARestauraceStaraSkola")</f>
        <v>https://www.facebook.com/PivovarARestauraceStaraSkola</v>
      </c>
      <c r="L58" s="96" t="s">
        <v>577</v>
      </c>
      <c r="M58" s="96"/>
      <c r="N58" s="96" t="s">
        <v>588</v>
      </c>
      <c r="O58" s="96"/>
      <c r="P58" s="96" t="s">
        <v>7539</v>
      </c>
      <c r="Q58" s="96">
        <v>49.467396000000001</v>
      </c>
      <c r="R58" s="96">
        <v>13.1735229999999</v>
      </c>
      <c r="S58" s="100" t="s">
        <v>7447</v>
      </c>
      <c r="T58" s="103" t="s">
        <v>217</v>
      </c>
      <c r="U58" s="103" t="s">
        <v>218</v>
      </c>
      <c r="V58" s="103" t="s">
        <v>218</v>
      </c>
      <c r="W58" s="103" t="s">
        <v>584</v>
      </c>
    </row>
    <row r="59" spans="1:23" ht="15.75" customHeight="1">
      <c r="A59" s="96">
        <v>61</v>
      </c>
      <c r="B59" s="97" t="s">
        <v>27</v>
      </c>
      <c r="C59" s="96" t="s">
        <v>591</v>
      </c>
      <c r="D59" s="96" t="s">
        <v>592</v>
      </c>
      <c r="E59" s="96" t="s">
        <v>591</v>
      </c>
      <c r="F59" s="96" t="s">
        <v>593</v>
      </c>
      <c r="G59" s="99" t="s">
        <v>39</v>
      </c>
      <c r="H59" s="100" t="s">
        <v>60</v>
      </c>
      <c r="I59" s="101">
        <v>2010</v>
      </c>
      <c r="J59" s="102" t="str">
        <f>HYPERLINK("http://kutilkovapalirna.cz","http://kutilkovapalirna.cz")</f>
        <v>http://kutilkovapalirna.cz</v>
      </c>
      <c r="K59" s="102" t="str">
        <f>HYPERLINK("https://www.facebook.com/kutilkovapalirna","https://www.facebook.com/kutilkovapalirna")</f>
        <v>https://www.facebook.com/kutilkovapalirna</v>
      </c>
      <c r="L59" s="96" t="s">
        <v>594</v>
      </c>
      <c r="M59" s="96"/>
      <c r="N59" s="96" t="s">
        <v>596</v>
      </c>
      <c r="O59" s="96"/>
      <c r="P59" s="96" t="s">
        <v>7540</v>
      </c>
      <c r="Q59" s="96">
        <v>49.893509000000002</v>
      </c>
      <c r="R59" s="96">
        <v>15.566082</v>
      </c>
      <c r="S59" s="100" t="s">
        <v>52</v>
      </c>
      <c r="T59" s="103" t="s">
        <v>483</v>
      </c>
      <c r="U59" s="103" t="s">
        <v>702</v>
      </c>
      <c r="V59" s="103" t="s">
        <v>702</v>
      </c>
      <c r="W59" s="103" t="s">
        <v>591</v>
      </c>
    </row>
    <row r="60" spans="1:23" ht="15.75" customHeight="1">
      <c r="A60" s="96">
        <v>62</v>
      </c>
      <c r="B60" s="97" t="s">
        <v>27</v>
      </c>
      <c r="C60" s="96" t="s">
        <v>599</v>
      </c>
      <c r="D60" s="96" t="s">
        <v>600</v>
      </c>
      <c r="E60" s="96" t="s">
        <v>599</v>
      </c>
      <c r="F60" s="96" t="s">
        <v>601</v>
      </c>
      <c r="G60" s="99" t="s">
        <v>39</v>
      </c>
      <c r="H60" s="100" t="s">
        <v>40</v>
      </c>
      <c r="I60" s="101">
        <v>1992</v>
      </c>
      <c r="J60" s="102" t="str">
        <f>HYPERLINK("http://www.pivovarskydvur.cz","http://www.pivovarskydvur.cz")</f>
        <v>http://www.pivovarskydvur.cz</v>
      </c>
      <c r="K60" s="102" t="s">
        <v>602</v>
      </c>
      <c r="L60" s="96" t="s">
        <v>603</v>
      </c>
      <c r="M60" s="96"/>
      <c r="N60" s="96" t="s">
        <v>604</v>
      </c>
      <c r="O60" s="96"/>
      <c r="P60" s="96" t="s">
        <v>7541</v>
      </c>
      <c r="Q60" s="96">
        <v>50.062801999999898</v>
      </c>
      <c r="R60" s="96">
        <v>14.233389000000001</v>
      </c>
      <c r="S60" s="100" t="s">
        <v>52</v>
      </c>
      <c r="T60" s="103" t="s">
        <v>71</v>
      </c>
      <c r="U60" s="103" t="s">
        <v>295</v>
      </c>
      <c r="V60" s="103" t="s">
        <v>296</v>
      </c>
      <c r="W60" s="103" t="s">
        <v>599</v>
      </c>
    </row>
    <row r="61" spans="1:23" ht="15.75" customHeight="1">
      <c r="A61" s="96">
        <v>63</v>
      </c>
      <c r="B61" s="97" t="s">
        <v>27</v>
      </c>
      <c r="C61" s="96" t="s">
        <v>606</v>
      </c>
      <c r="D61" s="96" t="s">
        <v>607</v>
      </c>
      <c r="E61" s="96" t="s">
        <v>606</v>
      </c>
      <c r="F61" s="96" t="s">
        <v>608</v>
      </c>
      <c r="G61" s="99" t="s">
        <v>39</v>
      </c>
      <c r="H61" s="100" t="s">
        <v>69</v>
      </c>
      <c r="I61" s="101">
        <v>2006</v>
      </c>
      <c r="J61" s="102" t="str">
        <f>HYPERLINK("http://www.vysebrodskypivovar.cz","http://www.vysebrodskypivovar.cz")</f>
        <v>http://www.vysebrodskypivovar.cz</v>
      </c>
      <c r="K61" s="102" t="str">
        <f>HYPERLINK("https://www.facebook.com/minipivovar","https://www.facebook.com/minipivovar")</f>
        <v>https://www.facebook.com/minipivovar</v>
      </c>
      <c r="L61" s="96" t="s">
        <v>609</v>
      </c>
      <c r="M61" s="96"/>
      <c r="N61" s="96" t="s">
        <v>611</v>
      </c>
      <c r="O61" s="96"/>
      <c r="P61" s="96" t="s">
        <v>7542</v>
      </c>
      <c r="Q61" s="96">
        <v>48.616140000000001</v>
      </c>
      <c r="R61" s="96">
        <v>14.312759399999999</v>
      </c>
      <c r="S61" s="100" t="s">
        <v>7447</v>
      </c>
      <c r="T61" s="103" t="s">
        <v>369</v>
      </c>
      <c r="U61" s="103" t="s">
        <v>410</v>
      </c>
      <c r="V61" s="103" t="s">
        <v>410</v>
      </c>
      <c r="W61" s="103" t="s">
        <v>606</v>
      </c>
    </row>
    <row r="62" spans="1:23" ht="11.25" customHeight="1">
      <c r="A62" s="96">
        <v>64</v>
      </c>
      <c r="B62" s="97" t="s">
        <v>27</v>
      </c>
      <c r="C62" s="96" t="s">
        <v>87</v>
      </c>
      <c r="D62" s="96" t="s">
        <v>614</v>
      </c>
      <c r="E62" s="96" t="s">
        <v>87</v>
      </c>
      <c r="F62" s="96" t="s">
        <v>615</v>
      </c>
      <c r="G62" s="99" t="s">
        <v>39</v>
      </c>
      <c r="H62" s="100" t="s">
        <v>78</v>
      </c>
      <c r="I62" s="101">
        <v>1894</v>
      </c>
      <c r="J62" s="102" t="str">
        <f>HYPERLINK("http://www.pivovar-uherskybrod.cz","http://www.pivovar-uherskybrod.cz")</f>
        <v>http://www.pivovar-uherskybrod.cz</v>
      </c>
      <c r="K62" s="102" t="str">
        <f>HYPERLINK("https://www.facebook.com/pivovarub","https://www.facebook.com/pivovarub")</f>
        <v>https://www.facebook.com/pivovarub</v>
      </c>
      <c r="L62" s="96" t="s">
        <v>616</v>
      </c>
      <c r="M62" s="96" t="s">
        <v>617</v>
      </c>
      <c r="N62" s="96" t="s">
        <v>618</v>
      </c>
      <c r="O62" s="96"/>
      <c r="P62" s="96" t="s">
        <v>7543</v>
      </c>
      <c r="Q62" s="96">
        <v>49.024014999999899</v>
      </c>
      <c r="R62" s="96">
        <v>17.655249000000001</v>
      </c>
      <c r="S62" s="100" t="s">
        <v>52</v>
      </c>
      <c r="T62" s="103" t="s">
        <v>97</v>
      </c>
      <c r="U62" s="103" t="s">
        <v>98</v>
      </c>
      <c r="V62" s="103" t="s">
        <v>87</v>
      </c>
      <c r="W62" s="103" t="s">
        <v>87</v>
      </c>
    </row>
    <row r="63" spans="1:23" ht="15.75" customHeight="1">
      <c r="A63" s="96">
        <v>65</v>
      </c>
      <c r="B63" s="97" t="s">
        <v>27</v>
      </c>
      <c r="C63" s="96" t="s">
        <v>620</v>
      </c>
      <c r="D63" s="96" t="s">
        <v>621</v>
      </c>
      <c r="E63" s="96" t="s">
        <v>622</v>
      </c>
      <c r="F63" s="96" t="s">
        <v>623</v>
      </c>
      <c r="G63" s="99" t="s">
        <v>39</v>
      </c>
      <c r="H63" s="100" t="s">
        <v>40</v>
      </c>
      <c r="I63" s="101">
        <v>1999</v>
      </c>
      <c r="J63" s="102" t="str">
        <f>HYPERLINK("http://www.ukralejecminka.cz","http://www.ukralejecminka.cz")</f>
        <v>http://www.ukralejecminka.cz</v>
      </c>
      <c r="K63" s="102" t="str">
        <f>HYPERLINK("https://www.facebook.com/restaurace.jecminek","https://www.facebook.com/restaurace.jecminek")</f>
        <v>https://www.facebook.com/restaurace.jecminek</v>
      </c>
      <c r="L63" s="96" t="s">
        <v>624</v>
      </c>
      <c r="M63" s="96"/>
      <c r="N63" s="96" t="s">
        <v>625</v>
      </c>
      <c r="O63" s="107" t="s">
        <v>754</v>
      </c>
      <c r="P63" s="96" t="s">
        <v>7544</v>
      </c>
      <c r="Q63" s="96">
        <v>49.472256000000002</v>
      </c>
      <c r="R63" s="96">
        <v>17.116593000000002</v>
      </c>
      <c r="S63" s="100" t="s">
        <v>52</v>
      </c>
      <c r="T63" s="103" t="s">
        <v>312</v>
      </c>
      <c r="U63" s="103" t="s">
        <v>622</v>
      </c>
      <c r="V63" s="103" t="s">
        <v>622</v>
      </c>
      <c r="W63" s="103" t="s">
        <v>622</v>
      </c>
    </row>
    <row r="64" spans="1:23" ht="15.75" customHeight="1">
      <c r="A64" s="96">
        <v>66</v>
      </c>
      <c r="B64" s="97" t="s">
        <v>27</v>
      </c>
      <c r="C64" s="96" t="s">
        <v>627</v>
      </c>
      <c r="D64" s="96" t="s">
        <v>628</v>
      </c>
      <c r="E64" s="96" t="s">
        <v>627</v>
      </c>
      <c r="F64" s="96" t="s">
        <v>629</v>
      </c>
      <c r="G64" s="99" t="s">
        <v>39</v>
      </c>
      <c r="H64" s="100" t="s">
        <v>60</v>
      </c>
      <c r="I64" s="101">
        <v>2011</v>
      </c>
      <c r="J64" s="102" t="str">
        <f>HYPERLINK("http://www.minipivovarjesenik.cz","http://www.minipivovarjesenik.cz")</f>
        <v>http://www.minipivovarjesenik.cz</v>
      </c>
      <c r="K64" s="102" t="str">
        <f>HYPERLINK("https://www.facebook.com/Minipivovar-Jesen%C3%ADk-121589417944802","https://www.facebook.com/Minipivovar-Jesen%C3%ADk-121589417944802")</f>
        <v>https://www.facebook.com/Minipivovar-Jesen%C3%ADk-121589417944802</v>
      </c>
      <c r="L64" s="96" t="s">
        <v>630</v>
      </c>
      <c r="M64" s="96"/>
      <c r="N64" s="96" t="s">
        <v>631</v>
      </c>
      <c r="O64" s="102" t="s">
        <v>632</v>
      </c>
      <c r="P64" s="96" t="s">
        <v>7545</v>
      </c>
      <c r="Q64" s="96">
        <v>50.232343999999898</v>
      </c>
      <c r="R64" s="96">
        <v>17.201149999999899</v>
      </c>
      <c r="S64" s="100" t="s">
        <v>52</v>
      </c>
      <c r="T64" s="103" t="s">
        <v>312</v>
      </c>
      <c r="U64" s="103" t="s">
        <v>627</v>
      </c>
      <c r="V64" s="103" t="s">
        <v>627</v>
      </c>
      <c r="W64" s="103" t="s">
        <v>627</v>
      </c>
    </row>
    <row r="65" spans="1:23" ht="15.75" customHeight="1">
      <c r="A65" s="96">
        <v>67</v>
      </c>
      <c r="B65" s="97" t="s">
        <v>27</v>
      </c>
      <c r="C65" s="96" t="s">
        <v>634</v>
      </c>
      <c r="D65" s="96" t="s">
        <v>635</v>
      </c>
      <c r="E65" s="96" t="s">
        <v>636</v>
      </c>
      <c r="F65" s="96" t="s">
        <v>637</v>
      </c>
      <c r="G65" s="99" t="s">
        <v>39</v>
      </c>
      <c r="H65" s="100" t="s">
        <v>78</v>
      </c>
      <c r="I65" s="101">
        <v>1860</v>
      </c>
      <c r="J65" s="102" t="str">
        <f>HYPERLINK("http://www.pivovar-jihlava.cz","http://www.pivovar-jihlava.cz")</f>
        <v>http://www.pivovar-jihlava.cz</v>
      </c>
      <c r="K65" s="102" t="str">
        <f>HYPERLINK("https://www.facebook.com/pivojezek","https://www.facebook.com/pivojezek")</f>
        <v>https://www.facebook.com/pivojezek</v>
      </c>
      <c r="L65" s="96" t="s">
        <v>640</v>
      </c>
      <c r="M65" s="96"/>
      <c r="N65" s="96" t="s">
        <v>641</v>
      </c>
      <c r="O65" s="96"/>
      <c r="P65" s="96" t="s">
        <v>7546</v>
      </c>
      <c r="Q65" s="96">
        <v>49.397410999999899</v>
      </c>
      <c r="R65" s="96">
        <v>15.582547</v>
      </c>
      <c r="S65" s="100" t="s">
        <v>52</v>
      </c>
      <c r="T65" s="103" t="s">
        <v>144</v>
      </c>
      <c r="U65" s="103" t="s">
        <v>636</v>
      </c>
      <c r="V65" s="103" t="s">
        <v>636</v>
      </c>
      <c r="W65" s="103" t="s">
        <v>636</v>
      </c>
    </row>
    <row r="66" spans="1:23" ht="15.75" customHeight="1">
      <c r="A66" s="96">
        <v>68</v>
      </c>
      <c r="B66" s="97" t="s">
        <v>27</v>
      </c>
      <c r="C66" s="96" t="s">
        <v>643</v>
      </c>
      <c r="D66" s="96" t="s">
        <v>644</v>
      </c>
      <c r="E66" s="96" t="s">
        <v>645</v>
      </c>
      <c r="F66" s="96" t="s">
        <v>646</v>
      </c>
      <c r="G66" s="99" t="s">
        <v>39</v>
      </c>
      <c r="H66" s="100" t="s">
        <v>40</v>
      </c>
      <c r="I66" s="101">
        <v>2009</v>
      </c>
      <c r="J66" s="102" t="str">
        <f>HYPERLINK("http://www.jihomestskypivovar.cz","http://www.jihomestskypivovar.cz")</f>
        <v>http://www.jihomestskypivovar.cz</v>
      </c>
      <c r="K66" s="102" t="str">
        <f>HYPERLINK("https://www.facebook.com/Jihom%C4%9Bstsk%C3%BD-pivovar-117331261614253","https://www.facebook.com/Jihom%C4%9Bstsk%C3%BD-pivovar-117331261614253")</f>
        <v>https://www.facebook.com/Jihom%C4%9Bstsk%C3%BD-pivovar-117331261614253</v>
      </c>
      <c r="L66" s="96" t="s">
        <v>649</v>
      </c>
      <c r="M66" s="96"/>
      <c r="N66" s="96" t="s">
        <v>651</v>
      </c>
      <c r="O66" s="96"/>
      <c r="P66" s="96" t="s">
        <v>7547</v>
      </c>
      <c r="Q66" s="96">
        <v>50.031468599999997</v>
      </c>
      <c r="R66" s="96">
        <v>14.5197483</v>
      </c>
      <c r="S66" s="100" t="s">
        <v>52</v>
      </c>
      <c r="T66" s="103" t="s">
        <v>58</v>
      </c>
      <c r="U66" s="103" t="s">
        <v>58</v>
      </c>
      <c r="V66" s="103" t="s">
        <v>58</v>
      </c>
      <c r="W66" s="103" t="s">
        <v>59</v>
      </c>
    </row>
    <row r="67" spans="1:23" ht="15.75" customHeight="1">
      <c r="A67" s="96">
        <v>69</v>
      </c>
      <c r="B67" s="97" t="s">
        <v>27</v>
      </c>
      <c r="C67" s="96" t="s">
        <v>653</v>
      </c>
      <c r="D67" s="96" t="s">
        <v>654</v>
      </c>
      <c r="E67" s="96" t="s">
        <v>655</v>
      </c>
      <c r="F67" s="96" t="s">
        <v>656</v>
      </c>
      <c r="G67" s="99" t="s">
        <v>39</v>
      </c>
      <c r="H67" s="100" t="s">
        <v>40</v>
      </c>
      <c r="I67" s="101">
        <v>2009</v>
      </c>
      <c r="J67" s="102" t="str">
        <f>HYPERLINK("http://www.mosteckykahan.cz","http://www.mosteckykahan.cz")</f>
        <v>http://www.mosteckykahan.cz</v>
      </c>
      <c r="K67" s="107" t="s">
        <v>783</v>
      </c>
      <c r="L67" s="96" t="s">
        <v>657</v>
      </c>
      <c r="M67" s="96"/>
      <c r="N67" s="96" t="s">
        <v>659</v>
      </c>
      <c r="O67" s="96" t="s">
        <v>660</v>
      </c>
      <c r="P67" s="96" t="s">
        <v>7548</v>
      </c>
      <c r="Q67" s="96">
        <v>50.497145000000003</v>
      </c>
      <c r="R67" s="96">
        <v>13.640786</v>
      </c>
      <c r="S67" s="100" t="s">
        <v>52</v>
      </c>
      <c r="T67" s="103" t="s">
        <v>353</v>
      </c>
      <c r="U67" s="103" t="s">
        <v>655</v>
      </c>
      <c r="V67" s="103" t="s">
        <v>655</v>
      </c>
      <c r="W67" s="103" t="s">
        <v>655</v>
      </c>
    </row>
    <row r="68" spans="1:23" ht="15.75" customHeight="1">
      <c r="A68" s="96">
        <v>70</v>
      </c>
      <c r="B68" s="97" t="s">
        <v>27</v>
      </c>
      <c r="C68" s="96" t="s">
        <v>662</v>
      </c>
      <c r="D68" s="96" t="s">
        <v>663</v>
      </c>
      <c r="E68" s="96" t="s">
        <v>574</v>
      </c>
      <c r="F68" s="96" t="s">
        <v>664</v>
      </c>
      <c r="G68" s="99" t="s">
        <v>39</v>
      </c>
      <c r="H68" s="100" t="s">
        <v>40</v>
      </c>
      <c r="I68" s="101">
        <v>2012</v>
      </c>
      <c r="J68" s="102" t="s">
        <v>665</v>
      </c>
      <c r="K68" s="102" t="s">
        <v>666</v>
      </c>
      <c r="L68" s="96" t="s">
        <v>667</v>
      </c>
      <c r="M68" s="96"/>
      <c r="N68" s="96" t="s">
        <v>662</v>
      </c>
      <c r="O68" s="96"/>
      <c r="P68" s="96" t="s">
        <v>7549</v>
      </c>
      <c r="Q68" s="96">
        <v>50.230250599999998</v>
      </c>
      <c r="R68" s="96">
        <v>12.867056399999999</v>
      </c>
      <c r="S68" s="100" t="s">
        <v>52</v>
      </c>
      <c r="T68" s="103" t="s">
        <v>573</v>
      </c>
      <c r="U68" s="103" t="s">
        <v>574</v>
      </c>
      <c r="V68" s="103" t="s">
        <v>574</v>
      </c>
      <c r="W68" s="103" t="s">
        <v>574</v>
      </c>
    </row>
    <row r="69" spans="1:23" ht="15.75" customHeight="1">
      <c r="A69" s="96">
        <v>71</v>
      </c>
      <c r="B69" s="97" t="s">
        <v>27</v>
      </c>
      <c r="C69" s="96" t="s">
        <v>670</v>
      </c>
      <c r="D69" s="96" t="s">
        <v>671</v>
      </c>
      <c r="E69" s="96" t="s">
        <v>672</v>
      </c>
      <c r="F69" s="96" t="s">
        <v>673</v>
      </c>
      <c r="G69" s="99" t="s">
        <v>39</v>
      </c>
      <c r="H69" s="100" t="s">
        <v>78</v>
      </c>
      <c r="I69" s="101">
        <v>1570</v>
      </c>
      <c r="J69" s="102" t="str">
        <f>HYPERLINK("http://www.pivovarklaster.cz","http://www.pivovarklaster.cz")</f>
        <v>http://www.pivovarklaster.cz</v>
      </c>
      <c r="K69" s="102" t="str">
        <f>HYPERLINK("https://www.facebook.com/klasterpivovar","https://www.facebook.com/klasterpivovar")</f>
        <v>https://www.facebook.com/klasterpivovar</v>
      </c>
      <c r="L69" s="96" t="s">
        <v>675</v>
      </c>
      <c r="M69" s="96"/>
      <c r="N69" s="96" t="s">
        <v>670</v>
      </c>
      <c r="O69" s="96"/>
      <c r="P69" s="96" t="s">
        <v>7550</v>
      </c>
      <c r="Q69" s="96">
        <v>50.524661000000002</v>
      </c>
      <c r="R69" s="96">
        <v>14.947692</v>
      </c>
      <c r="S69" s="100" t="s">
        <v>7447</v>
      </c>
      <c r="T69" s="103" t="s">
        <v>71</v>
      </c>
      <c r="U69" s="103" t="s">
        <v>810</v>
      </c>
      <c r="V69" s="103" t="s">
        <v>811</v>
      </c>
      <c r="W69" s="103" t="s">
        <v>672</v>
      </c>
    </row>
    <row r="70" spans="1:23" ht="15.75" customHeight="1">
      <c r="A70" s="96">
        <v>72</v>
      </c>
      <c r="B70" s="97" t="s">
        <v>27</v>
      </c>
      <c r="C70" s="96" t="s">
        <v>677</v>
      </c>
      <c r="D70" s="96" t="s">
        <v>678</v>
      </c>
      <c r="E70" s="96" t="s">
        <v>679</v>
      </c>
      <c r="F70" s="96" t="s">
        <v>680</v>
      </c>
      <c r="G70" s="99" t="s">
        <v>39</v>
      </c>
      <c r="H70" s="100" t="s">
        <v>69</v>
      </c>
      <c r="I70" s="101">
        <v>2007</v>
      </c>
      <c r="J70" s="102" t="s">
        <v>681</v>
      </c>
      <c r="K70" s="102" t="s">
        <v>682</v>
      </c>
      <c r="L70" s="96" t="s">
        <v>683</v>
      </c>
      <c r="M70" s="96"/>
      <c r="N70" s="96" t="s">
        <v>685</v>
      </c>
      <c r="O70" s="96" t="s">
        <v>687</v>
      </c>
      <c r="P70" s="96" t="s">
        <v>7551</v>
      </c>
      <c r="Q70" s="96">
        <v>48.973143999999898</v>
      </c>
      <c r="R70" s="96">
        <v>17.288684</v>
      </c>
      <c r="S70" s="100" t="s">
        <v>52</v>
      </c>
      <c r="T70" s="103" t="s">
        <v>325</v>
      </c>
      <c r="U70" s="103" t="s">
        <v>819</v>
      </c>
      <c r="V70" s="103" t="s">
        <v>820</v>
      </c>
      <c r="W70" s="103" t="s">
        <v>679</v>
      </c>
    </row>
    <row r="71" spans="1:23" ht="15.75" customHeight="1">
      <c r="A71" s="96">
        <v>73</v>
      </c>
      <c r="B71" s="97" t="s">
        <v>27</v>
      </c>
      <c r="C71" s="96" t="s">
        <v>689</v>
      </c>
      <c r="D71" s="96" t="s">
        <v>690</v>
      </c>
      <c r="E71" s="96" t="s">
        <v>691</v>
      </c>
      <c r="F71" s="96" t="s">
        <v>692</v>
      </c>
      <c r="G71" s="99" t="s">
        <v>39</v>
      </c>
      <c r="H71" s="100" t="s">
        <v>40</v>
      </c>
      <c r="I71" s="101">
        <v>2012</v>
      </c>
      <c r="J71" s="102" t="s">
        <v>693</v>
      </c>
      <c r="K71" s="102" t="str">
        <f>HYPERLINK("https://www.facebook.com/minipivovarknezinek","https://www.facebook.com/minipivovarknezinek")</f>
        <v>https://www.facebook.com/minipivovarknezinek</v>
      </c>
      <c r="L71" s="96" t="s">
        <v>694</v>
      </c>
      <c r="M71" s="96"/>
      <c r="N71" s="96" t="s">
        <v>696</v>
      </c>
      <c r="O71" s="96"/>
      <c r="P71" s="96" t="s">
        <v>7552</v>
      </c>
      <c r="Q71" s="96">
        <v>49.002974399999999</v>
      </c>
      <c r="R71" s="96">
        <v>14.4032103</v>
      </c>
      <c r="S71" s="100" t="s">
        <v>52</v>
      </c>
      <c r="T71" s="103" t="s">
        <v>369</v>
      </c>
      <c r="U71" s="103" t="s">
        <v>298</v>
      </c>
      <c r="V71" s="103" t="s">
        <v>298</v>
      </c>
      <c r="W71" s="103" t="s">
        <v>298</v>
      </c>
    </row>
    <row r="72" spans="1:23" ht="15.75" customHeight="1">
      <c r="A72" s="96">
        <v>74</v>
      </c>
      <c r="B72" s="97" t="s">
        <v>27</v>
      </c>
      <c r="C72" s="96" t="s">
        <v>698</v>
      </c>
      <c r="D72" s="96" t="s">
        <v>699</v>
      </c>
      <c r="E72" s="96" t="s">
        <v>700</v>
      </c>
      <c r="F72" s="96" t="s">
        <v>701</v>
      </c>
      <c r="G72" s="99" t="s">
        <v>39</v>
      </c>
      <c r="H72" s="100" t="s">
        <v>40</v>
      </c>
      <c r="I72" s="101">
        <v>2008</v>
      </c>
      <c r="J72" s="102" t="str">
        <f>HYPERLINK("http://www.pivovar-kocour.cz","http://www.pivovar-kocour.cz")</f>
        <v>http://www.pivovar-kocour.cz</v>
      </c>
      <c r="K72" s="102" t="str">
        <f>HYPERLINK("https://www.facebook.com/pivovar.kocour.varnsdorf","https://www.facebook.com/pivovar.kocour.varnsdorf")</f>
        <v>https://www.facebook.com/pivovar.kocour.varnsdorf</v>
      </c>
      <c r="L72" s="96" t="s">
        <v>703</v>
      </c>
      <c r="M72" s="96"/>
      <c r="N72" s="96" t="s">
        <v>705</v>
      </c>
      <c r="O72" s="96" t="s">
        <v>707</v>
      </c>
      <c r="P72" s="96" t="s">
        <v>7553</v>
      </c>
      <c r="Q72" s="96">
        <v>50.919902999999898</v>
      </c>
      <c r="R72" s="96">
        <v>14.603623000000001</v>
      </c>
      <c r="S72" s="100" t="s">
        <v>52</v>
      </c>
      <c r="T72" s="103" t="s">
        <v>353</v>
      </c>
      <c r="U72" s="103" t="s">
        <v>843</v>
      </c>
      <c r="V72" s="103" t="s">
        <v>700</v>
      </c>
      <c r="W72" s="103" t="s">
        <v>700</v>
      </c>
    </row>
    <row r="73" spans="1:23" ht="15.75" customHeight="1">
      <c r="A73" s="96">
        <v>75</v>
      </c>
      <c r="B73" s="97" t="s">
        <v>27</v>
      </c>
      <c r="C73" s="96" t="s">
        <v>709</v>
      </c>
      <c r="D73" s="96" t="s">
        <v>710</v>
      </c>
      <c r="E73" s="96" t="s">
        <v>711</v>
      </c>
      <c r="F73" s="96" t="s">
        <v>712</v>
      </c>
      <c r="G73" s="99" t="s">
        <v>39</v>
      </c>
      <c r="H73" s="100" t="s">
        <v>40</v>
      </c>
      <c r="I73" s="101">
        <v>2010</v>
      </c>
      <c r="J73" s="102" t="str">
        <f>HYPERLINK("http://www.udvoukocek.cz","http://www.udvoukocek.cz")</f>
        <v>http://www.udvoukocek.cz</v>
      </c>
      <c r="K73" s="102" t="s">
        <v>713</v>
      </c>
      <c r="L73" s="96" t="s">
        <v>714</v>
      </c>
      <c r="M73" s="96"/>
      <c r="N73" s="96" t="s">
        <v>715</v>
      </c>
      <c r="O73" s="96"/>
      <c r="P73" s="96" t="s">
        <v>7554</v>
      </c>
      <c r="Q73" s="96">
        <v>50.083511999999899</v>
      </c>
      <c r="R73" s="96">
        <v>14.420486</v>
      </c>
      <c r="S73" s="100" t="s">
        <v>7447</v>
      </c>
      <c r="T73" s="103" t="s">
        <v>58</v>
      </c>
      <c r="U73" s="103" t="s">
        <v>58</v>
      </c>
      <c r="V73" s="103" t="s">
        <v>58</v>
      </c>
      <c r="W73" s="103" t="s">
        <v>59</v>
      </c>
    </row>
    <row r="74" spans="1:23" ht="15.75" customHeight="1">
      <c r="A74" s="96">
        <v>76</v>
      </c>
      <c r="B74" s="97" t="s">
        <v>27</v>
      </c>
      <c r="C74" s="96" t="s">
        <v>717</v>
      </c>
      <c r="D74" s="96" t="s">
        <v>718</v>
      </c>
      <c r="E74" s="96" t="s">
        <v>719</v>
      </c>
      <c r="F74" s="96" t="s">
        <v>720</v>
      </c>
      <c r="G74" s="99" t="s">
        <v>39</v>
      </c>
      <c r="H74" s="100" t="s">
        <v>69</v>
      </c>
      <c r="I74" s="101">
        <v>2010</v>
      </c>
      <c r="J74" s="96"/>
      <c r="K74" s="96"/>
      <c r="L74" s="96" t="s">
        <v>721</v>
      </c>
      <c r="M74" s="96"/>
      <c r="N74" s="96" t="s">
        <v>723</v>
      </c>
      <c r="O74" s="96"/>
      <c r="P74" s="96" t="s">
        <v>7555</v>
      </c>
      <c r="Q74" s="96">
        <v>50.174821999999899</v>
      </c>
      <c r="R74" s="96">
        <v>15.8477859999999</v>
      </c>
      <c r="S74" s="100" t="s">
        <v>52</v>
      </c>
      <c r="T74" s="103" t="s">
        <v>207</v>
      </c>
      <c r="U74" s="103" t="s">
        <v>208</v>
      </c>
      <c r="V74" s="103" t="s">
        <v>208</v>
      </c>
      <c r="W74" s="103" t="s">
        <v>208</v>
      </c>
    </row>
    <row r="75" spans="1:23" ht="15.75" customHeight="1">
      <c r="A75" s="96">
        <v>77</v>
      </c>
      <c r="B75" s="97" t="s">
        <v>27</v>
      </c>
      <c r="C75" s="96" t="s">
        <v>726</v>
      </c>
      <c r="D75" s="96" t="s">
        <v>727</v>
      </c>
      <c r="E75" s="96" t="s">
        <v>728</v>
      </c>
      <c r="F75" s="96" t="s">
        <v>729</v>
      </c>
      <c r="G75" s="99" t="s">
        <v>39</v>
      </c>
      <c r="H75" s="100" t="s">
        <v>40</v>
      </c>
      <c r="I75" s="101">
        <v>2013</v>
      </c>
      <c r="J75" s="102" t="s">
        <v>730</v>
      </c>
      <c r="K75" s="102" t="s">
        <v>731</v>
      </c>
      <c r="L75" s="96" t="s">
        <v>732</v>
      </c>
      <c r="M75" s="96"/>
      <c r="N75" s="96" t="s">
        <v>733</v>
      </c>
      <c r="O75" s="102" t="s">
        <v>735</v>
      </c>
      <c r="P75" s="96" t="s">
        <v>7556</v>
      </c>
      <c r="Q75" s="96">
        <v>49.642988000000003</v>
      </c>
      <c r="R75" s="96">
        <v>18.480539</v>
      </c>
      <c r="S75" s="100" t="s">
        <v>52</v>
      </c>
      <c r="T75" s="103" t="s">
        <v>121</v>
      </c>
      <c r="U75" s="103" t="s">
        <v>259</v>
      </c>
      <c r="V75" s="103" t="s">
        <v>259</v>
      </c>
      <c r="W75" s="103" t="s">
        <v>728</v>
      </c>
    </row>
    <row r="76" spans="1:23" ht="8.25" customHeight="1">
      <c r="A76" s="96">
        <v>78</v>
      </c>
      <c r="B76" s="97" t="s">
        <v>27</v>
      </c>
      <c r="C76" s="96" t="s">
        <v>737</v>
      </c>
      <c r="D76" s="96" t="s">
        <v>738</v>
      </c>
      <c r="E76" s="96" t="s">
        <v>739</v>
      </c>
      <c r="F76" s="96" t="s">
        <v>740</v>
      </c>
      <c r="G76" s="99" t="s">
        <v>39</v>
      </c>
      <c r="H76" s="100" t="s">
        <v>78</v>
      </c>
      <c r="I76" s="101">
        <v>2006</v>
      </c>
      <c r="J76" s="102" t="str">
        <f>HYPERLINK("http://www.pivovarkonicek.cz","http://www.pivovarkonicek.cz")</f>
        <v>http://www.pivovarkonicek.cz</v>
      </c>
      <c r="K76" s="102" t="str">
        <f>HYPERLINK("https://www.facebook.com/pivovarkonicek","https://www.facebook.com/pivovarkonicek")</f>
        <v>https://www.facebook.com/pivovarkonicek</v>
      </c>
      <c r="L76" s="96" t="s">
        <v>741</v>
      </c>
      <c r="M76" s="96"/>
      <c r="N76" s="96" t="s">
        <v>743</v>
      </c>
      <c r="O76" s="102" t="s">
        <v>744</v>
      </c>
      <c r="P76" s="96" t="s">
        <v>7557</v>
      </c>
      <c r="Q76" s="96">
        <v>49.674827000000001</v>
      </c>
      <c r="R76" s="96">
        <v>18.476709</v>
      </c>
      <c r="S76" s="100" t="s">
        <v>52</v>
      </c>
      <c r="T76" s="103" t="s">
        <v>121</v>
      </c>
      <c r="U76" s="103" t="s">
        <v>259</v>
      </c>
      <c r="V76" s="103" t="s">
        <v>259</v>
      </c>
      <c r="W76" s="103" t="s">
        <v>739</v>
      </c>
    </row>
    <row r="77" spans="1:23" ht="15.75" customHeight="1">
      <c r="A77" s="96">
        <v>79</v>
      </c>
      <c r="B77" s="97" t="s">
        <v>27</v>
      </c>
      <c r="C77" s="96" t="s">
        <v>746</v>
      </c>
      <c r="D77" s="96" t="s">
        <v>747</v>
      </c>
      <c r="E77" s="96" t="s">
        <v>748</v>
      </c>
      <c r="F77" s="96" t="s">
        <v>749</v>
      </c>
      <c r="G77" s="99" t="s">
        <v>39</v>
      </c>
      <c r="H77" s="100" t="s">
        <v>78</v>
      </c>
      <c r="I77" s="101">
        <v>2000</v>
      </c>
      <c r="J77" s="102" t="str">
        <f>HYPERLINK("http://www.pivo-konrad.cz","http://www.pivo-konrad.cz")</f>
        <v>http://www.pivo-konrad.cz</v>
      </c>
      <c r="K77" s="102" t="str">
        <f>HYPERLINK("https://www.facebook.com/PivoKonradVratislavice","https://www.facebook.com/PivoKonradVratislavice")</f>
        <v>https://www.facebook.com/PivoKonradVratislavice</v>
      </c>
      <c r="L77" s="96" t="s">
        <v>750</v>
      </c>
      <c r="M77" s="96"/>
      <c r="N77" s="96" t="s">
        <v>752</v>
      </c>
      <c r="O77" s="96"/>
      <c r="P77" s="96" t="s">
        <v>7558</v>
      </c>
      <c r="Q77" s="96">
        <v>50.751944399999999</v>
      </c>
      <c r="R77" s="96">
        <v>15.0882764</v>
      </c>
      <c r="S77" s="100" t="s">
        <v>7447</v>
      </c>
      <c r="T77" s="103" t="s">
        <v>67</v>
      </c>
      <c r="U77" s="103" t="s">
        <v>68</v>
      </c>
      <c r="V77" s="103" t="s">
        <v>68</v>
      </c>
      <c r="W77" s="103" t="s">
        <v>68</v>
      </c>
    </row>
    <row r="78" spans="1:23" ht="15.75" customHeight="1">
      <c r="A78" s="96">
        <v>80</v>
      </c>
      <c r="B78" s="97" t="s">
        <v>27</v>
      </c>
      <c r="C78" s="96" t="s">
        <v>755</v>
      </c>
      <c r="D78" s="96" t="s">
        <v>756</v>
      </c>
      <c r="E78" s="96" t="s">
        <v>757</v>
      </c>
      <c r="F78" s="96" t="s">
        <v>758</v>
      </c>
      <c r="G78" s="99" t="s">
        <v>39</v>
      </c>
      <c r="H78" s="100" t="s">
        <v>69</v>
      </c>
      <c r="I78" s="101">
        <v>2012</v>
      </c>
      <c r="J78" s="102" t="str">
        <f>HYPERLINK("http://www.kounickypivovar.cz","http://www.kounickypivovar.cz")</f>
        <v>http://www.kounickypivovar.cz</v>
      </c>
      <c r="K78" s="102" t="str">
        <f>HYPERLINK("https://www.facebook.com/kounickypivovar","https://www.facebook.com/kounickypivovar")</f>
        <v>https://www.facebook.com/kounickypivovar</v>
      </c>
      <c r="L78" s="96" t="s">
        <v>759</v>
      </c>
      <c r="M78" s="96"/>
      <c r="N78" s="96" t="s">
        <v>761</v>
      </c>
      <c r="O78" s="102" t="s">
        <v>763</v>
      </c>
      <c r="P78" s="96" t="s">
        <v>7559</v>
      </c>
      <c r="Q78" s="96">
        <v>50.108260999999899</v>
      </c>
      <c r="R78" s="96">
        <v>14.8540379999999</v>
      </c>
      <c r="S78" s="100" t="s">
        <v>52</v>
      </c>
      <c r="T78" s="103" t="s">
        <v>71</v>
      </c>
      <c r="U78" s="103" t="s">
        <v>882</v>
      </c>
      <c r="V78" s="103" t="s">
        <v>884</v>
      </c>
      <c r="W78" s="103" t="s">
        <v>757</v>
      </c>
    </row>
    <row r="79" spans="1:23" ht="15.75" customHeight="1">
      <c r="A79" s="96">
        <v>81</v>
      </c>
      <c r="B79" s="97" t="s">
        <v>27</v>
      </c>
      <c r="C79" s="96" t="s">
        <v>765</v>
      </c>
      <c r="D79" s="96" t="s">
        <v>766</v>
      </c>
      <c r="E79" s="96" t="s">
        <v>767</v>
      </c>
      <c r="F79" s="96" t="s">
        <v>768</v>
      </c>
      <c r="G79" s="99" t="s">
        <v>39</v>
      </c>
      <c r="H79" s="100" t="s">
        <v>40</v>
      </c>
      <c r="I79" s="101">
        <v>2011</v>
      </c>
      <c r="J79" s="102" t="str">
        <f>HYPERLINK("http://www.kolibahotel.cz","http://www.kolibahotel.cz")</f>
        <v>http://www.kolibahotel.cz</v>
      </c>
      <c r="K79" s="102" t="str">
        <f>HYPERLINK("https://www.facebook.com/Hotel-Koliba-Litom%C4%9B%C5%99ice-174148985937809","https://www.facebook.com/Hotel-Koliba-Litom%C4%9B%C5%99ice-174148985937809")</f>
        <v>https://www.facebook.com/Hotel-Koliba-Litom%C4%9B%C5%99ice-174148985937809</v>
      </c>
      <c r="L79" s="96" t="s">
        <v>769</v>
      </c>
      <c r="M79" s="96"/>
      <c r="N79" s="96" t="s">
        <v>770</v>
      </c>
      <c r="O79" s="96"/>
      <c r="P79" s="96" t="s">
        <v>7560</v>
      </c>
      <c r="Q79" s="96">
        <v>50.5365889999999</v>
      </c>
      <c r="R79" s="96">
        <v>14.153222</v>
      </c>
      <c r="S79" s="100" t="s">
        <v>52</v>
      </c>
      <c r="T79" s="103" t="s">
        <v>353</v>
      </c>
      <c r="U79" s="103" t="s">
        <v>767</v>
      </c>
      <c r="V79" s="103" t="s">
        <v>767</v>
      </c>
      <c r="W79" s="103" t="s">
        <v>767</v>
      </c>
    </row>
    <row r="80" spans="1:23" ht="15.75" customHeight="1">
      <c r="A80" s="96">
        <v>82</v>
      </c>
      <c r="B80" s="97" t="s">
        <v>27</v>
      </c>
      <c r="C80" s="96" t="s">
        <v>772</v>
      </c>
      <c r="D80" s="96" t="s">
        <v>773</v>
      </c>
      <c r="E80" s="96" t="s">
        <v>774</v>
      </c>
      <c r="F80" s="96" t="s">
        <v>775</v>
      </c>
      <c r="G80" s="99" t="s">
        <v>39</v>
      </c>
      <c r="H80" s="100" t="s">
        <v>69</v>
      </c>
      <c r="I80" s="101">
        <v>2006</v>
      </c>
      <c r="J80" s="102" t="str">
        <f>HYPERLINK("http://www.pivovarkout.cz","http://www.pivovarkout.cz")</f>
        <v>http://www.pivovarkout.cz</v>
      </c>
      <c r="K80" s="102" t="str">
        <f>HYPERLINK("https://www.facebook.com/Pivovar-Kout-na-Šumavě-306435406052527","https://www.facebook.com/Pivovar-Kout-na-Šumavě-306435406052527")</f>
        <v>https://www.facebook.com/Pivovar-Kout-na-Šumavě-306435406052527</v>
      </c>
      <c r="L80" s="96" t="s">
        <v>776</v>
      </c>
      <c r="M80" s="96"/>
      <c r="N80" s="96" t="s">
        <v>777</v>
      </c>
      <c r="O80" s="96"/>
      <c r="P80" s="96" t="s">
        <v>7561</v>
      </c>
      <c r="Q80" s="96">
        <v>49.401440000000001</v>
      </c>
      <c r="R80" s="96">
        <v>12.999617000000001</v>
      </c>
      <c r="S80" s="100" t="s">
        <v>7447</v>
      </c>
      <c r="T80" s="103" t="s">
        <v>217</v>
      </c>
      <c r="U80" s="103" t="s">
        <v>894</v>
      </c>
      <c r="V80" s="103" t="s">
        <v>894</v>
      </c>
      <c r="W80" s="103" t="s">
        <v>774</v>
      </c>
    </row>
    <row r="81" spans="1:23" ht="15.75" customHeight="1">
      <c r="A81" s="96">
        <v>83</v>
      </c>
      <c r="B81" s="97" t="s">
        <v>27</v>
      </c>
      <c r="C81" s="96" t="s">
        <v>779</v>
      </c>
      <c r="D81" s="96" t="s">
        <v>780</v>
      </c>
      <c r="E81" s="96" t="s">
        <v>781</v>
      </c>
      <c r="F81" s="96" t="s">
        <v>782</v>
      </c>
      <c r="G81" s="99" t="s">
        <v>39</v>
      </c>
      <c r="H81" s="100" t="s">
        <v>69</v>
      </c>
      <c r="I81" s="101">
        <v>2006</v>
      </c>
      <c r="J81" s="102" t="str">
        <f>HYPERLINK("http://www.pivovar-kozlicek.cz","http://www.pivovar-kozlicek.cz")</f>
        <v>http://www.pivovar-kozlicek.cz</v>
      </c>
      <c r="K81" s="102" t="str">
        <f>HYPERLINK("https://www.facebook.com/pivovarkozlicek","https://www.facebook.com/pivovarkozlicek")</f>
        <v>https://www.facebook.com/pivovarkozlicek</v>
      </c>
      <c r="L81" s="96" t="s">
        <v>784</v>
      </c>
      <c r="M81" s="96"/>
      <c r="N81" s="96" t="s">
        <v>786</v>
      </c>
      <c r="O81" s="96"/>
      <c r="P81" s="96" t="s">
        <v>7562</v>
      </c>
      <c r="Q81" s="96">
        <v>49.256573600000003</v>
      </c>
      <c r="R81" s="96">
        <v>15.310935000000001</v>
      </c>
      <c r="S81" s="100" t="s">
        <v>7447</v>
      </c>
      <c r="T81" s="103" t="s">
        <v>144</v>
      </c>
      <c r="U81" s="103" t="s">
        <v>636</v>
      </c>
      <c r="V81" s="103" t="s">
        <v>636</v>
      </c>
      <c r="W81" s="103" t="s">
        <v>781</v>
      </c>
    </row>
    <row r="82" spans="1:23" ht="15.75" customHeight="1">
      <c r="A82" s="96">
        <v>84</v>
      </c>
      <c r="B82" s="97" t="s">
        <v>27</v>
      </c>
      <c r="C82" s="96" t="s">
        <v>788</v>
      </c>
      <c r="D82" s="96" t="s">
        <v>789</v>
      </c>
      <c r="E82" s="96" t="s">
        <v>790</v>
      </c>
      <c r="F82" s="96" t="s">
        <v>791</v>
      </c>
      <c r="G82" s="99" t="s">
        <v>39</v>
      </c>
      <c r="H82" s="100" t="s">
        <v>40</v>
      </c>
      <c r="I82" s="101">
        <v>2008</v>
      </c>
      <c r="J82" s="102" t="s">
        <v>792</v>
      </c>
      <c r="K82" s="102" t="s">
        <v>793</v>
      </c>
      <c r="L82" s="96" t="s">
        <v>794</v>
      </c>
      <c r="M82" s="96"/>
      <c r="N82" s="96" t="s">
        <v>797</v>
      </c>
      <c r="O82" s="102" t="s">
        <v>799</v>
      </c>
      <c r="P82" s="96" t="s">
        <v>7563</v>
      </c>
      <c r="Q82" s="96">
        <v>49.5925814</v>
      </c>
      <c r="R82" s="96">
        <v>18.2561678</v>
      </c>
      <c r="S82" s="100" t="s">
        <v>52</v>
      </c>
      <c r="T82" s="103" t="s">
        <v>121</v>
      </c>
      <c r="U82" s="103" t="s">
        <v>259</v>
      </c>
      <c r="V82" s="103" t="s">
        <v>259</v>
      </c>
      <c r="W82" s="103" t="s">
        <v>790</v>
      </c>
    </row>
    <row r="83" spans="1:23" ht="15.75" customHeight="1">
      <c r="A83" s="96">
        <v>85</v>
      </c>
      <c r="B83" s="97" t="s">
        <v>27</v>
      </c>
      <c r="C83" s="96" t="s">
        <v>801</v>
      </c>
      <c r="D83" s="96" t="s">
        <v>802</v>
      </c>
      <c r="E83" s="96" t="s">
        <v>586</v>
      </c>
      <c r="F83" s="96" t="s">
        <v>803</v>
      </c>
      <c r="G83" s="99" t="s">
        <v>39</v>
      </c>
      <c r="H83" s="100" t="s">
        <v>78</v>
      </c>
      <c r="I83" s="101">
        <v>1582</v>
      </c>
      <c r="J83" s="102" t="str">
        <f>HYPERLINK("http://www.pivovar-krakonos.cz","http://www.pivovar-krakonos.cz")</f>
        <v>http://www.pivovar-krakonos.cz</v>
      </c>
      <c r="K83" s="102" t="str">
        <f>HYPERLINK("https://www.facebook.com/pivovarKrakonos","https://www.facebook.com/pivovarKrakonos")</f>
        <v>https://www.facebook.com/pivovarKrakonos</v>
      </c>
      <c r="L83" s="96" t="s">
        <v>804</v>
      </c>
      <c r="M83" s="96"/>
      <c r="N83" s="96" t="s">
        <v>801</v>
      </c>
      <c r="O83" s="96"/>
      <c r="P83" s="96" t="s">
        <v>7564</v>
      </c>
      <c r="Q83" s="96">
        <v>50.561431399999996</v>
      </c>
      <c r="R83" s="96">
        <v>15.9093661</v>
      </c>
      <c r="S83" s="100" t="s">
        <v>52</v>
      </c>
      <c r="T83" s="103" t="s">
        <v>207</v>
      </c>
      <c r="U83" s="103" t="s">
        <v>586</v>
      </c>
      <c r="V83" s="103" t="s">
        <v>586</v>
      </c>
      <c r="W83" s="103" t="s">
        <v>586</v>
      </c>
    </row>
    <row r="84" spans="1:23" ht="15.75" customHeight="1">
      <c r="A84" s="96">
        <v>86</v>
      </c>
      <c r="B84" s="97" t="s">
        <v>27</v>
      </c>
      <c r="C84" s="96" t="s">
        <v>807</v>
      </c>
      <c r="D84" s="96" t="s">
        <v>808</v>
      </c>
      <c r="E84" s="96" t="s">
        <v>481</v>
      </c>
      <c r="F84" s="96" t="s">
        <v>809</v>
      </c>
      <c r="G84" s="99" t="s">
        <v>39</v>
      </c>
      <c r="H84" s="100" t="s">
        <v>40</v>
      </c>
      <c r="I84" s="101">
        <v>1995</v>
      </c>
      <c r="J84" s="102" t="str">
        <f>HYPERLINK("http://pivovarskabasta.cz","http://pivovarskabasta.cz")</f>
        <v>http://pivovarskabasta.cz</v>
      </c>
      <c r="K84" s="107" t="s">
        <v>927</v>
      </c>
      <c r="L84" s="96" t="s">
        <v>812</v>
      </c>
      <c r="M84" s="96"/>
      <c r="N84" s="96" t="s">
        <v>813</v>
      </c>
      <c r="O84" s="96"/>
      <c r="P84" s="96" t="s">
        <v>7565</v>
      </c>
      <c r="Q84" s="96">
        <v>50.642966000000001</v>
      </c>
      <c r="R84" s="96">
        <v>15.608525</v>
      </c>
      <c r="S84" s="100" t="s">
        <v>7447</v>
      </c>
      <c r="T84" s="103" t="s">
        <v>207</v>
      </c>
      <c r="U84" s="103" t="s">
        <v>586</v>
      </c>
      <c r="V84" s="103" t="s">
        <v>481</v>
      </c>
      <c r="W84" s="103" t="s">
        <v>481</v>
      </c>
    </row>
    <row r="85" spans="1:23" ht="15.75" customHeight="1">
      <c r="A85" s="96">
        <v>87</v>
      </c>
      <c r="B85" s="97" t="s">
        <v>27</v>
      </c>
      <c r="C85" s="96" t="s">
        <v>815</v>
      </c>
      <c r="D85" s="96" t="s">
        <v>816</v>
      </c>
      <c r="E85" s="96" t="s">
        <v>815</v>
      </c>
      <c r="F85" s="96" t="s">
        <v>817</v>
      </c>
      <c r="G85" s="99" t="s">
        <v>39</v>
      </c>
      <c r="H85" s="100" t="s">
        <v>40</v>
      </c>
      <c r="I85" s="101">
        <v>2011</v>
      </c>
      <c r="J85" s="102" t="s">
        <v>818</v>
      </c>
      <c r="K85" s="102" t="str">
        <f>HYPERLINK("https://www.facebook.com/minipivovarkrmelin","https://www.facebook.com/minipivovarkrmelin")</f>
        <v>https://www.facebook.com/minipivovarkrmelin</v>
      </c>
      <c r="L85" s="96" t="s">
        <v>821</v>
      </c>
      <c r="M85" s="96"/>
      <c r="N85" s="96" t="s">
        <v>823</v>
      </c>
      <c r="O85" s="102" t="s">
        <v>825</v>
      </c>
      <c r="P85" s="96" t="s">
        <v>7566</v>
      </c>
      <c r="Q85" s="96">
        <v>49.729303100000003</v>
      </c>
      <c r="R85" s="96">
        <v>18.2361261</v>
      </c>
      <c r="S85" s="100" t="s">
        <v>52</v>
      </c>
      <c r="T85" s="103" t="s">
        <v>121</v>
      </c>
      <c r="U85" s="103" t="s">
        <v>259</v>
      </c>
      <c r="V85" s="103" t="s">
        <v>259</v>
      </c>
      <c r="W85" s="103" t="s">
        <v>815</v>
      </c>
    </row>
    <row r="86" spans="1:23" ht="15.75" customHeight="1">
      <c r="A86" s="96">
        <v>88</v>
      </c>
      <c r="B86" s="97" t="s">
        <v>27</v>
      </c>
      <c r="C86" s="96" t="s">
        <v>827</v>
      </c>
      <c r="D86" s="96" t="s">
        <v>828</v>
      </c>
      <c r="E86" s="96" t="s">
        <v>827</v>
      </c>
      <c r="F86" s="96" t="s">
        <v>829</v>
      </c>
      <c r="G86" s="99" t="s">
        <v>39</v>
      </c>
      <c r="H86" s="100" t="s">
        <v>78</v>
      </c>
      <c r="I86" s="101">
        <v>1581</v>
      </c>
      <c r="J86" s="102" t="str">
        <f>HYPERLINK("http://www.krusovice.cz","http://www.krusovice.cz")</f>
        <v>http://www.krusovice.cz</v>
      </c>
      <c r="K86" s="102" t="str">
        <f>HYPERLINK("https://www.facebook.com/PivoKrusovice","https://www.facebook.com/PivoKrusovice")</f>
        <v>https://www.facebook.com/PivoKrusovice</v>
      </c>
      <c r="L86" s="96" t="s">
        <v>830</v>
      </c>
      <c r="M86" s="96"/>
      <c r="N86" s="96" t="s">
        <v>831</v>
      </c>
      <c r="O86" s="96"/>
      <c r="P86" s="96" t="s">
        <v>7567</v>
      </c>
      <c r="Q86" s="96">
        <v>50.173657200000001</v>
      </c>
      <c r="R86" s="96">
        <v>13.772616899999999</v>
      </c>
      <c r="S86" s="100" t="s">
        <v>7447</v>
      </c>
      <c r="T86" s="103" t="s">
        <v>71</v>
      </c>
      <c r="U86" s="103" t="s">
        <v>76</v>
      </c>
      <c r="V86" s="103" t="s">
        <v>76</v>
      </c>
      <c r="W86" s="103" t="s">
        <v>827</v>
      </c>
    </row>
    <row r="87" spans="1:23" ht="15.75" customHeight="1">
      <c r="A87" s="96">
        <v>89</v>
      </c>
      <c r="B87" s="97" t="s">
        <v>27</v>
      </c>
      <c r="C87" s="96" t="s">
        <v>833</v>
      </c>
      <c r="D87" s="96" t="s">
        <v>834</v>
      </c>
      <c r="E87" s="96" t="s">
        <v>835</v>
      </c>
      <c r="F87" s="96" t="s">
        <v>836</v>
      </c>
      <c r="G87" s="99" t="s">
        <v>39</v>
      </c>
      <c r="H87" s="100" t="s">
        <v>69</v>
      </c>
      <c r="I87" s="101">
        <v>1992</v>
      </c>
      <c r="J87" s="102" t="str">
        <f>HYPERLINK("http://pivokvasar.cz","http://pivokvasar.cz")</f>
        <v>http://pivokvasar.cz</v>
      </c>
      <c r="K87" s="102" t="str">
        <f>HYPERLINK("https://www.facebook.com/pivokvasar","https://www.facebook.com/pivokvasar")</f>
        <v>https://www.facebook.com/pivokvasar</v>
      </c>
      <c r="L87" s="96" t="s">
        <v>837</v>
      </c>
      <c r="M87" s="96" t="s">
        <v>839</v>
      </c>
      <c r="N87" s="96" t="s">
        <v>840</v>
      </c>
      <c r="O87" s="102" t="s">
        <v>841</v>
      </c>
      <c r="P87" s="96" t="s">
        <v>842</v>
      </c>
      <c r="Q87" s="96">
        <v>49.312820299999998</v>
      </c>
      <c r="R87" s="96">
        <v>16.4540936</v>
      </c>
      <c r="S87" s="100" t="s">
        <v>52</v>
      </c>
      <c r="T87" s="103" t="s">
        <v>325</v>
      </c>
      <c r="U87" s="103" t="s">
        <v>952</v>
      </c>
      <c r="V87" s="103" t="s">
        <v>953</v>
      </c>
      <c r="W87" s="103" t="s">
        <v>835</v>
      </c>
    </row>
    <row r="88" spans="1:23" ht="15.75" customHeight="1">
      <c r="A88" s="96">
        <v>90</v>
      </c>
      <c r="B88" s="97" t="s">
        <v>27</v>
      </c>
      <c r="C88" s="96" t="s">
        <v>844</v>
      </c>
      <c r="D88" s="96" t="s">
        <v>845</v>
      </c>
      <c r="E88" s="96" t="s">
        <v>846</v>
      </c>
      <c r="F88" s="96" t="s">
        <v>847</v>
      </c>
      <c r="G88" s="99" t="s">
        <v>39</v>
      </c>
      <c r="H88" s="100" t="s">
        <v>89</v>
      </c>
      <c r="I88" s="101" t="s">
        <v>954</v>
      </c>
      <c r="J88" s="102" t="str">
        <f>HYPERLINK("http://www.kvasslav.cz","http://www.kvasslav.cz")</f>
        <v>http://www.kvasslav.cz</v>
      </c>
      <c r="K88" s="102" t="str">
        <f>HYPERLINK("https://www.facebook.com/kvasslavcz-149748885132665","https://www.facebook.com/kvasslavcz-149748885132665")</f>
        <v>https://www.facebook.com/kvasslavcz-149748885132665</v>
      </c>
      <c r="L88" s="96" t="s">
        <v>849</v>
      </c>
      <c r="M88" s="109"/>
      <c r="N88" s="96" t="s">
        <v>850</v>
      </c>
      <c r="O88" s="102" t="s">
        <v>852</v>
      </c>
      <c r="P88" s="96" t="s">
        <v>7568</v>
      </c>
      <c r="Q88" s="96">
        <v>50.0677179999999</v>
      </c>
      <c r="R88" s="96">
        <v>17.092534000000001</v>
      </c>
      <c r="S88" s="100" t="s">
        <v>52</v>
      </c>
      <c r="T88" s="103" t="s">
        <v>312</v>
      </c>
      <c r="U88" s="103" t="s">
        <v>313</v>
      </c>
      <c r="V88" s="103" t="s">
        <v>313</v>
      </c>
      <c r="W88" s="103" t="s">
        <v>846</v>
      </c>
    </row>
    <row r="89" spans="1:23" ht="15.75" customHeight="1">
      <c r="A89" s="96">
        <v>91</v>
      </c>
      <c r="B89" s="97" t="s">
        <v>27</v>
      </c>
      <c r="C89" s="96" t="s">
        <v>854</v>
      </c>
      <c r="D89" s="96" t="s">
        <v>855</v>
      </c>
      <c r="E89" s="96" t="s">
        <v>854</v>
      </c>
      <c r="F89" s="96" t="s">
        <v>856</v>
      </c>
      <c r="G89" s="99" t="s">
        <v>39</v>
      </c>
      <c r="H89" s="100" t="s">
        <v>40</v>
      </c>
      <c r="I89" s="101">
        <v>2011</v>
      </c>
      <c r="J89" s="102" t="str">
        <f>HYPERLINK("http://www.pekarnakvilda.cz","http://www.pekarnakvilda.cz")</f>
        <v>http://www.pekarnakvilda.cz</v>
      </c>
      <c r="K89" s="102" t="str">
        <f>HYPERLINK("https://www.facebook.com/PekarnaAPivovarKvilda","https://www.facebook.com/PekarnaAPivovarKvilda")</f>
        <v>https://www.facebook.com/PekarnaAPivovarKvilda</v>
      </c>
      <c r="L89" s="96" t="s">
        <v>857</v>
      </c>
      <c r="M89" s="96"/>
      <c r="N89" s="96" t="s">
        <v>859</v>
      </c>
      <c r="O89" s="96"/>
      <c r="P89" s="96" t="s">
        <v>7569</v>
      </c>
      <c r="Q89" s="96">
        <v>49.020587499999998</v>
      </c>
      <c r="R89" s="96">
        <v>13.5794406</v>
      </c>
      <c r="S89" s="100" t="s">
        <v>7447</v>
      </c>
      <c r="T89" s="103" t="s">
        <v>369</v>
      </c>
      <c r="U89" s="103" t="s">
        <v>976</v>
      </c>
      <c r="V89" s="103" t="s">
        <v>977</v>
      </c>
      <c r="W89" s="103" t="s">
        <v>854</v>
      </c>
    </row>
    <row r="90" spans="1:23" ht="15.75" customHeight="1">
      <c r="A90" s="96">
        <v>92</v>
      </c>
      <c r="B90" s="97" t="s">
        <v>27</v>
      </c>
      <c r="C90" s="96" t="s">
        <v>862</v>
      </c>
      <c r="D90" s="96" t="s">
        <v>863</v>
      </c>
      <c r="E90" s="96" t="s">
        <v>864</v>
      </c>
      <c r="F90" s="96" t="s">
        <v>865</v>
      </c>
      <c r="G90" s="99" t="s">
        <v>39</v>
      </c>
      <c r="H90" s="100" t="s">
        <v>40</v>
      </c>
      <c r="I90" s="101">
        <v>2013</v>
      </c>
      <c r="J90" s="102" t="str">
        <f>HYPERLINK("http://www.pivovar-kynsperk.cz","http://www.pivovar-kynsperk.cz")</f>
        <v>http://www.pivovar-kynsperk.cz</v>
      </c>
      <c r="K90" s="102" t="str">
        <f>HYPERLINK("https://www.facebook.com/PivovarKynsperk","https://www.facebook.com/PivovarKynsperk")</f>
        <v>https://www.facebook.com/PivovarKynsperk</v>
      </c>
      <c r="L90" s="96" t="s">
        <v>866</v>
      </c>
      <c r="M90" s="96"/>
      <c r="N90" s="96" t="s">
        <v>868</v>
      </c>
      <c r="O90" s="96" t="s">
        <v>869</v>
      </c>
      <c r="P90" s="96" t="s">
        <v>7570</v>
      </c>
      <c r="Q90" s="96">
        <v>50.124051999999899</v>
      </c>
      <c r="R90" s="96">
        <v>12.5314599999999</v>
      </c>
      <c r="S90" s="100" t="s">
        <v>52</v>
      </c>
      <c r="T90" s="103" t="s">
        <v>573</v>
      </c>
      <c r="U90" s="103" t="s">
        <v>986</v>
      </c>
      <c r="V90" s="103" t="s">
        <v>986</v>
      </c>
      <c r="W90" s="103" t="s">
        <v>864</v>
      </c>
    </row>
    <row r="91" spans="1:23" ht="15.75" customHeight="1">
      <c r="A91" s="96">
        <v>93</v>
      </c>
      <c r="B91" s="97" t="s">
        <v>27</v>
      </c>
      <c r="C91" s="96" t="s">
        <v>871</v>
      </c>
      <c r="D91" s="96" t="s">
        <v>872</v>
      </c>
      <c r="E91" s="96" t="s">
        <v>767</v>
      </c>
      <c r="F91" s="96" t="s">
        <v>873</v>
      </c>
      <c r="G91" s="99" t="s">
        <v>39</v>
      </c>
      <c r="H91" s="100" t="s">
        <v>40</v>
      </c>
      <c r="I91" s="101">
        <v>2010</v>
      </c>
      <c r="J91" s="102" t="str">
        <f>HYPERLINK("http://www.minipivovarlabut.cz","http://www.minipivovarlabut.cz")</f>
        <v>http://www.minipivovarlabut.cz</v>
      </c>
      <c r="K91" s="102" t="str">
        <f>HYPERLINK("https://www.facebook.com/minipivovarlabut","https://www.facebook.com/minipivovarlabut")</f>
        <v>https://www.facebook.com/minipivovarlabut</v>
      </c>
      <c r="L91" s="96" t="s">
        <v>874</v>
      </c>
      <c r="M91" s="96"/>
      <c r="N91" s="96" t="s">
        <v>876</v>
      </c>
      <c r="O91" s="102" t="s">
        <v>878</v>
      </c>
      <c r="P91" s="96" t="s">
        <v>7571</v>
      </c>
      <c r="Q91" s="96">
        <v>50.535072999999898</v>
      </c>
      <c r="R91" s="96">
        <v>14.134981</v>
      </c>
      <c r="S91" s="100" t="s">
        <v>52</v>
      </c>
      <c r="T91" s="103" t="s">
        <v>353</v>
      </c>
      <c r="U91" s="103" t="s">
        <v>767</v>
      </c>
      <c r="V91" s="103" t="s">
        <v>767</v>
      </c>
      <c r="W91" s="103" t="s">
        <v>767</v>
      </c>
    </row>
    <row r="92" spans="1:23" ht="15.75" customHeight="1">
      <c r="A92" s="96">
        <v>94</v>
      </c>
      <c r="B92" s="97" t="s">
        <v>27</v>
      </c>
      <c r="C92" s="96" t="s">
        <v>880</v>
      </c>
      <c r="D92" s="96" t="s">
        <v>881</v>
      </c>
      <c r="E92" s="96" t="s">
        <v>883</v>
      </c>
      <c r="F92" s="96" t="s">
        <v>885</v>
      </c>
      <c r="G92" s="99" t="s">
        <v>39</v>
      </c>
      <c r="H92" s="100" t="s">
        <v>40</v>
      </c>
      <c r="I92" s="101">
        <v>1998</v>
      </c>
      <c r="J92" s="102" t="str">
        <f>HYPERLINK("http://www.pivovar-lipan.cz","http://www.pivovar-lipan.cz")</f>
        <v>http://www.pivovar-lipan.cz</v>
      </c>
      <c r="K92" s="102" t="str">
        <f>HYPERLINK("https://www.facebook.com/pivovarlipan","https://www.facebook.com/pivovarlipan")</f>
        <v>https://www.facebook.com/pivovarlipan</v>
      </c>
      <c r="L92" s="96" t="s">
        <v>886</v>
      </c>
      <c r="M92" s="96"/>
      <c r="N92" s="96" t="s">
        <v>888</v>
      </c>
      <c r="O92" s="96"/>
      <c r="P92" s="96" t="s">
        <v>7572</v>
      </c>
      <c r="Q92" s="96">
        <v>49.305672999999899</v>
      </c>
      <c r="R92" s="96">
        <v>14.380751</v>
      </c>
      <c r="S92" s="100" t="s">
        <v>7447</v>
      </c>
      <c r="T92" s="103" t="s">
        <v>369</v>
      </c>
      <c r="U92" s="103" t="s">
        <v>298</v>
      </c>
      <c r="V92" s="103" t="s">
        <v>1008</v>
      </c>
      <c r="W92" s="103" t="s">
        <v>883</v>
      </c>
    </row>
    <row r="93" spans="1:23" ht="15.75" customHeight="1">
      <c r="A93" s="96">
        <v>95</v>
      </c>
      <c r="B93" s="97" t="s">
        <v>27</v>
      </c>
      <c r="C93" s="96" t="s">
        <v>890</v>
      </c>
      <c r="D93" s="96" t="s">
        <v>891</v>
      </c>
      <c r="E93" s="96" t="s">
        <v>892</v>
      </c>
      <c r="F93" s="96" t="s">
        <v>893</v>
      </c>
      <c r="G93" s="99" t="s">
        <v>39</v>
      </c>
      <c r="H93" s="100" t="s">
        <v>40</v>
      </c>
      <c r="I93" s="101">
        <v>2011</v>
      </c>
      <c r="J93" s="102" t="str">
        <f>HYPERLINK("http://www.lisenskypivovar.cz","http://www.lisenskypivovar.cz")</f>
        <v>http://www.lisenskypivovar.cz</v>
      </c>
      <c r="K93" s="102" t="str">
        <f>HYPERLINK("https://www.facebook.com/lisenskypivovar","https://www.facebook.com/lisenskypivovar")</f>
        <v>https://www.facebook.com/lisenskypivovar</v>
      </c>
      <c r="L93" s="96" t="s">
        <v>895</v>
      </c>
      <c r="M93" s="96"/>
      <c r="N93" s="96" t="s">
        <v>897</v>
      </c>
      <c r="O93" s="96"/>
      <c r="P93" s="96" t="s">
        <v>7573</v>
      </c>
      <c r="Q93" s="96">
        <v>49.210807199999998</v>
      </c>
      <c r="R93" s="96">
        <v>16.680625299999999</v>
      </c>
      <c r="S93" s="100" t="s">
        <v>52</v>
      </c>
      <c r="T93" s="103" t="s">
        <v>325</v>
      </c>
      <c r="U93" s="103" t="s">
        <v>1017</v>
      </c>
      <c r="V93" s="103" t="s">
        <v>1018</v>
      </c>
      <c r="W93" s="103" t="s">
        <v>1018</v>
      </c>
    </row>
    <row r="94" spans="1:23" ht="15.75" customHeight="1">
      <c r="A94" s="96">
        <v>96</v>
      </c>
      <c r="B94" s="97" t="s">
        <v>27</v>
      </c>
      <c r="C94" s="96" t="s">
        <v>899</v>
      </c>
      <c r="D94" s="96" t="s">
        <v>900</v>
      </c>
      <c r="E94" s="96" t="s">
        <v>899</v>
      </c>
      <c r="F94" s="96" t="s">
        <v>901</v>
      </c>
      <c r="G94" s="99" t="s">
        <v>39</v>
      </c>
      <c r="H94" s="100" t="s">
        <v>78</v>
      </c>
      <c r="I94" s="101">
        <v>1893</v>
      </c>
      <c r="J94" s="102" t="str">
        <f>HYPERLINK("http://www.litovel.cz","http://www.litovel.cz")</f>
        <v>http://www.litovel.cz</v>
      </c>
      <c r="K94" s="102" t="str">
        <f>HYPERLINK("https://www.facebook.com/pivovarlitovel","https://www.facebook.com/pivovarlitovel")</f>
        <v>https://www.facebook.com/pivovarlitovel</v>
      </c>
      <c r="L94" s="96" t="s">
        <v>902</v>
      </c>
      <c r="M94" s="96"/>
      <c r="N94" s="96" t="s">
        <v>904</v>
      </c>
      <c r="O94" s="96"/>
      <c r="P94" s="96" t="s">
        <v>7574</v>
      </c>
      <c r="Q94" s="96">
        <v>49.6946429999999</v>
      </c>
      <c r="R94" s="96">
        <v>17.0764689999999</v>
      </c>
      <c r="S94" s="100" t="s">
        <v>7447</v>
      </c>
      <c r="T94" s="103" t="s">
        <v>312</v>
      </c>
      <c r="U94" s="103" t="s">
        <v>1034</v>
      </c>
      <c r="V94" s="103" t="s">
        <v>899</v>
      </c>
      <c r="W94" s="103" t="s">
        <v>899</v>
      </c>
    </row>
    <row r="95" spans="1:23" ht="15.75" customHeight="1">
      <c r="A95" s="96">
        <v>97</v>
      </c>
      <c r="B95" s="97" t="s">
        <v>27</v>
      </c>
      <c r="C95" s="96" t="s">
        <v>906</v>
      </c>
      <c r="D95" s="96" t="s">
        <v>907</v>
      </c>
      <c r="E95" s="96" t="s">
        <v>906</v>
      </c>
      <c r="F95" s="96" t="s">
        <v>908</v>
      </c>
      <c r="G95" s="99" t="s">
        <v>39</v>
      </c>
      <c r="H95" s="100" t="s">
        <v>78</v>
      </c>
      <c r="I95" s="101">
        <v>1466</v>
      </c>
      <c r="J95" s="102" t="s">
        <v>909</v>
      </c>
      <c r="K95" s="102" t="str">
        <f>HYPERLINK("https://www.facebook.com/vysokychlumecpivovar","https://www.facebook.com/vysokychlumecpivovar")</f>
        <v>https://www.facebook.com/vysokychlumecpivovar</v>
      </c>
      <c r="L95" s="96" t="s">
        <v>910</v>
      </c>
      <c r="M95" s="96"/>
      <c r="N95" s="96" t="s">
        <v>911</v>
      </c>
      <c r="O95" s="96"/>
      <c r="P95" s="96" t="s">
        <v>7575</v>
      </c>
      <c r="Q95" s="96">
        <v>49.614412000000002</v>
      </c>
      <c r="R95" s="96">
        <v>14.391791</v>
      </c>
      <c r="S95" s="100" t="s">
        <v>7447</v>
      </c>
      <c r="T95" s="103" t="s">
        <v>71</v>
      </c>
      <c r="U95" s="103" t="s">
        <v>195</v>
      </c>
      <c r="V95" s="103" t="s">
        <v>1040</v>
      </c>
      <c r="W95" s="103" t="s">
        <v>906</v>
      </c>
    </row>
    <row r="96" spans="1:23" ht="15.75" customHeight="1">
      <c r="A96" s="96">
        <v>98</v>
      </c>
      <c r="B96" s="97" t="s">
        <v>27</v>
      </c>
      <c r="C96" s="96" t="s">
        <v>913</v>
      </c>
      <c r="D96" s="96" t="s">
        <v>914</v>
      </c>
      <c r="E96" s="96" t="s">
        <v>915</v>
      </c>
      <c r="F96" s="96" t="s">
        <v>916</v>
      </c>
      <c r="G96" s="99" t="s">
        <v>39</v>
      </c>
      <c r="H96" s="100" t="s">
        <v>40</v>
      </c>
      <c r="I96" s="101">
        <v>2010</v>
      </c>
      <c r="J96" s="102" t="str">
        <f>HYPERLINK("http://www.podkycmolem.cz","http://www.podkycmolem.cz")</f>
        <v>http://www.podkycmolem.cz</v>
      </c>
      <c r="K96" s="102" t="str">
        <f>HYPERLINK("https://www.facebook.com/hotelpodkycmolem","https://www.facebook.com/hotelpodkycmolem")</f>
        <v>https://www.facebook.com/hotelpodkycmolem</v>
      </c>
      <c r="L96" s="96" t="s">
        <v>917</v>
      </c>
      <c r="M96" s="96"/>
      <c r="N96" s="96" t="s">
        <v>919</v>
      </c>
      <c r="O96" s="96"/>
      <c r="P96" s="96" t="s">
        <v>7576</v>
      </c>
      <c r="Q96" s="96">
        <v>49.514845999999899</v>
      </c>
      <c r="R96" s="96">
        <v>18.627115</v>
      </c>
      <c r="S96" s="100" t="s">
        <v>52</v>
      </c>
      <c r="T96" s="103" t="s">
        <v>121</v>
      </c>
      <c r="U96" s="103" t="s">
        <v>259</v>
      </c>
      <c r="V96" s="103" t="s">
        <v>1049</v>
      </c>
      <c r="W96" s="103" t="s">
        <v>915</v>
      </c>
    </row>
    <row r="97" spans="1:23" ht="15.75" customHeight="1">
      <c r="A97" s="96">
        <v>99</v>
      </c>
      <c r="B97" s="97" t="s">
        <v>27</v>
      </c>
      <c r="C97" s="96" t="s">
        <v>922</v>
      </c>
      <c r="D97" s="96" t="s">
        <v>923</v>
      </c>
      <c r="E97" s="96" t="s">
        <v>924</v>
      </c>
      <c r="F97" s="96" t="s">
        <v>925</v>
      </c>
      <c r="G97" s="99" t="s">
        <v>39</v>
      </c>
      <c r="H97" s="100" t="s">
        <v>40</v>
      </c>
      <c r="I97" s="101" t="s">
        <v>1050</v>
      </c>
      <c r="J97" s="102" t="str">
        <f>HYPERLINK("http://www.pivovarmagistr.cz","http://www.pivovarmagistr.cz")</f>
        <v>http://www.pivovarmagistr.cz</v>
      </c>
      <c r="K97" s="102" t="str">
        <f>HYPERLINK("https://www.facebook.com/pivovarmagistr","https://www.facebook.com/pivovarmagistr")</f>
        <v>https://www.facebook.com/pivovarmagistr</v>
      </c>
      <c r="L97" s="96" t="s">
        <v>926</v>
      </c>
      <c r="M97" s="96"/>
      <c r="N97" s="96" t="s">
        <v>929</v>
      </c>
      <c r="O97" s="96"/>
      <c r="P97" s="96" t="s">
        <v>7577</v>
      </c>
      <c r="Q97" s="96">
        <v>49.209595</v>
      </c>
      <c r="R97" s="96">
        <v>16.600048099999999</v>
      </c>
      <c r="S97" s="100" t="s">
        <v>52</v>
      </c>
      <c r="T97" s="103" t="s">
        <v>325</v>
      </c>
      <c r="U97" s="103" t="s">
        <v>1017</v>
      </c>
      <c r="V97" s="103" t="s">
        <v>1018</v>
      </c>
      <c r="W97" s="103" t="s">
        <v>1018</v>
      </c>
    </row>
    <row r="98" spans="1:23" ht="15.75" customHeight="1">
      <c r="A98" s="96">
        <v>100</v>
      </c>
      <c r="B98" s="97" t="s">
        <v>27</v>
      </c>
      <c r="C98" s="96" t="s">
        <v>932</v>
      </c>
      <c r="D98" s="96" t="s">
        <v>933</v>
      </c>
      <c r="E98" s="96" t="s">
        <v>260</v>
      </c>
      <c r="F98" s="96" t="s">
        <v>934</v>
      </c>
      <c r="G98" s="99" t="s">
        <v>39</v>
      </c>
      <c r="H98" s="100" t="s">
        <v>89</v>
      </c>
      <c r="I98" s="101" t="s">
        <v>935</v>
      </c>
      <c r="J98" s="96"/>
      <c r="K98" s="96"/>
      <c r="L98" s="96" t="s">
        <v>936</v>
      </c>
      <c r="M98" s="96"/>
      <c r="N98" s="96" t="s">
        <v>937</v>
      </c>
      <c r="O98" s="96"/>
      <c r="P98" s="96" t="s">
        <v>7578</v>
      </c>
      <c r="Q98" s="101">
        <v>49.584732000000002</v>
      </c>
      <c r="R98" s="101">
        <v>18.3505989999999</v>
      </c>
      <c r="S98" s="100" t="s">
        <v>52</v>
      </c>
      <c r="T98" s="103" t="s">
        <v>121</v>
      </c>
      <c r="U98" s="103" t="s">
        <v>259</v>
      </c>
      <c r="V98" s="103" t="s">
        <v>260</v>
      </c>
      <c r="W98" s="103" t="s">
        <v>260</v>
      </c>
    </row>
    <row r="99" spans="1:23" ht="15.75" customHeight="1">
      <c r="A99" s="96">
        <v>101</v>
      </c>
      <c r="B99" s="97" t="s">
        <v>27</v>
      </c>
      <c r="C99" s="96" t="s">
        <v>940</v>
      </c>
      <c r="D99" s="96" t="s">
        <v>941</v>
      </c>
      <c r="E99" s="96" t="s">
        <v>942</v>
      </c>
      <c r="F99" s="96" t="s">
        <v>943</v>
      </c>
      <c r="G99" s="99" t="s">
        <v>39</v>
      </c>
      <c r="H99" s="100" t="s">
        <v>40</v>
      </c>
      <c r="I99" s="101">
        <v>2010</v>
      </c>
      <c r="J99" s="102" t="str">
        <f>HYPERLINK("http://www.stirinskastodola.cz","http://www.stirinskastodola.cz")</f>
        <v>http://www.stirinskastodola.cz</v>
      </c>
      <c r="K99" s="102" t="str">
        <f>HYPERLINK("https://www.facebook.com/stirinskastodola","https://www.facebook.com/stirinskastodola")</f>
        <v>https://www.facebook.com/stirinskastodola</v>
      </c>
      <c r="L99" s="96" t="s">
        <v>944</v>
      </c>
      <c r="M99" s="96"/>
      <c r="N99" s="96" t="s">
        <v>940</v>
      </c>
      <c r="O99" s="96"/>
      <c r="P99" s="96" t="s">
        <v>7579</v>
      </c>
      <c r="Q99" s="96">
        <v>49.916952000000002</v>
      </c>
      <c r="R99" s="96">
        <v>14.595554</v>
      </c>
      <c r="S99" s="100" t="s">
        <v>52</v>
      </c>
      <c r="T99" s="103" t="s">
        <v>71</v>
      </c>
      <c r="U99" s="103" t="s">
        <v>1075</v>
      </c>
      <c r="V99" s="103" t="s">
        <v>1077</v>
      </c>
      <c r="W99" s="103" t="s">
        <v>1079</v>
      </c>
    </row>
    <row r="100" spans="1:23" ht="15.75" customHeight="1">
      <c r="A100" s="96">
        <v>102</v>
      </c>
      <c r="B100" s="97" t="s">
        <v>27</v>
      </c>
      <c r="C100" s="96" t="s">
        <v>948</v>
      </c>
      <c r="D100" s="96" t="s">
        <v>949</v>
      </c>
      <c r="E100" s="96" t="s">
        <v>950</v>
      </c>
      <c r="F100" s="96" t="s">
        <v>951</v>
      </c>
      <c r="G100" s="99" t="s">
        <v>39</v>
      </c>
      <c r="H100" s="100" t="s">
        <v>69</v>
      </c>
      <c r="I100" s="101">
        <v>2011</v>
      </c>
      <c r="J100" s="102" t="str">
        <f>HYPERLINK("http://www.pivovarmamut.cz","http://www.pivovarmamut.cz")</f>
        <v>http://www.pivovarmamut.cz</v>
      </c>
      <c r="K100" s="102" t="str">
        <f>HYPERLINK("https://www.facebook.com/pivovar.mamut","https://www.facebook.com/pivovar.mamut")</f>
        <v>https://www.facebook.com/pivovar.mamut</v>
      </c>
      <c r="L100" s="96" t="s">
        <v>955</v>
      </c>
      <c r="M100" s="96"/>
      <c r="N100" s="96" t="s">
        <v>956</v>
      </c>
      <c r="O100" s="96"/>
      <c r="P100" s="96" t="s">
        <v>7580</v>
      </c>
      <c r="Q100" s="96">
        <v>48.809359999999998</v>
      </c>
      <c r="R100" s="96">
        <v>16.642976999999998</v>
      </c>
      <c r="S100" s="100" t="s">
        <v>52</v>
      </c>
      <c r="T100" s="103" t="s">
        <v>325</v>
      </c>
      <c r="U100" s="103" t="s">
        <v>256</v>
      </c>
      <c r="V100" s="103" t="s">
        <v>950</v>
      </c>
      <c r="W100" s="103" t="s">
        <v>950</v>
      </c>
    </row>
    <row r="101" spans="1:23" ht="15.75" customHeight="1">
      <c r="A101" s="96">
        <v>103</v>
      </c>
      <c r="B101" s="97" t="s">
        <v>27</v>
      </c>
      <c r="C101" s="96" t="s">
        <v>959</v>
      </c>
      <c r="D101" s="96" t="s">
        <v>960</v>
      </c>
      <c r="E101" s="96" t="s">
        <v>961</v>
      </c>
      <c r="F101" s="96" t="s">
        <v>962</v>
      </c>
      <c r="G101" s="99" t="s">
        <v>39</v>
      </c>
      <c r="H101" s="100" t="s">
        <v>40</v>
      </c>
      <c r="I101" s="101">
        <v>2013</v>
      </c>
      <c r="J101" s="102" t="str">
        <f>HYPERLINK("http://www.pivovarmarina.cz","http://www.pivovarmarina.cz")</f>
        <v>http://www.pivovarmarina.cz</v>
      </c>
      <c r="K101" s="102" t="str">
        <f>HYPERLINK("https://www.facebook.com/pivovarmarinacz","https://www.facebook.com/pivovarmarinacz")</f>
        <v>https://www.facebook.com/pivovarmarinacz</v>
      </c>
      <c r="L101" s="96" t="s">
        <v>963</v>
      </c>
      <c r="M101" s="96"/>
      <c r="N101" s="96" t="s">
        <v>965</v>
      </c>
      <c r="O101" s="107" t="s">
        <v>1096</v>
      </c>
      <c r="P101" s="96" t="s">
        <v>7581</v>
      </c>
      <c r="Q101" s="96">
        <v>50.106208600000002</v>
      </c>
      <c r="R101" s="96">
        <v>14.456501100000001</v>
      </c>
      <c r="S101" s="100" t="s">
        <v>52</v>
      </c>
      <c r="T101" s="103" t="s">
        <v>58</v>
      </c>
      <c r="U101" s="103" t="s">
        <v>58</v>
      </c>
      <c r="V101" s="103" t="s">
        <v>58</v>
      </c>
      <c r="W101" s="103" t="s">
        <v>59</v>
      </c>
    </row>
    <row r="102" spans="1:23" ht="15.75" customHeight="1">
      <c r="A102" s="96">
        <v>104</v>
      </c>
      <c r="B102" s="97" t="s">
        <v>27</v>
      </c>
      <c r="C102" s="96" t="s">
        <v>968</v>
      </c>
      <c r="D102" s="96" t="s">
        <v>969</v>
      </c>
      <c r="E102" s="96" t="s">
        <v>970</v>
      </c>
      <c r="F102" s="96" t="s">
        <v>971</v>
      </c>
      <c r="G102" s="99" t="s">
        <v>39</v>
      </c>
      <c r="H102" s="100" t="s">
        <v>69</v>
      </c>
      <c r="I102" s="101">
        <v>2009</v>
      </c>
      <c r="J102" s="102" t="str">
        <f>HYPERLINK("http://www.pivovarmatuska.cz","http://www.pivovarmatuska.cz")</f>
        <v>http://www.pivovarmatuska.cz</v>
      </c>
      <c r="K102" s="102" t="str">
        <f>HYPERLINK("https://www.facebook.com/pivovarmatuska","https://www.facebook.com/pivovarmatuska")</f>
        <v>https://www.facebook.com/pivovarmatuska</v>
      </c>
      <c r="L102" s="96" t="s">
        <v>972</v>
      </c>
      <c r="M102" s="96"/>
      <c r="N102" s="96" t="s">
        <v>974</v>
      </c>
      <c r="O102" s="96"/>
      <c r="P102" s="96" t="s">
        <v>7582</v>
      </c>
      <c r="Q102" s="96">
        <v>49.955020599999997</v>
      </c>
      <c r="R102" s="96">
        <v>13.8515747</v>
      </c>
      <c r="S102" s="100" t="s">
        <v>52</v>
      </c>
      <c r="T102" s="103" t="s">
        <v>71</v>
      </c>
      <c r="U102" s="103" t="s">
        <v>183</v>
      </c>
      <c r="V102" s="103" t="s">
        <v>183</v>
      </c>
      <c r="W102" s="103" t="s">
        <v>970</v>
      </c>
    </row>
    <row r="103" spans="1:23" ht="15.75" customHeight="1">
      <c r="A103" s="96">
        <v>105</v>
      </c>
      <c r="B103" s="97" t="s">
        <v>27</v>
      </c>
      <c r="C103" s="96" t="s">
        <v>316</v>
      </c>
      <c r="D103" s="96" t="s">
        <v>978</v>
      </c>
      <c r="E103" s="96" t="s">
        <v>316</v>
      </c>
      <c r="F103" s="96" t="s">
        <v>979</v>
      </c>
      <c r="G103" s="99" t="s">
        <v>39</v>
      </c>
      <c r="H103" s="100" t="s">
        <v>69</v>
      </c>
      <c r="I103" s="101">
        <v>2012</v>
      </c>
      <c r="J103" s="102" t="str">
        <f>HYPERLINK("http://www.pivomaxmilian.cz","http://www.pivomaxmilian.cz")</f>
        <v>http://www.pivomaxmilian.cz</v>
      </c>
      <c r="K103" s="102" t="str">
        <f>HYPERLINK("https://www.facebook.com/pivomaxmilian","https://www.facebook.com/pivomaxmilian")</f>
        <v>https://www.facebook.com/pivomaxmilian</v>
      </c>
      <c r="L103" s="96" t="s">
        <v>980</v>
      </c>
      <c r="M103" s="96"/>
      <c r="N103" s="96" t="s">
        <v>982</v>
      </c>
      <c r="O103" s="96"/>
      <c r="P103" s="96" t="s">
        <v>7583</v>
      </c>
      <c r="Q103" s="96">
        <v>49.309380599999997</v>
      </c>
      <c r="R103" s="96">
        <v>17.397629200000001</v>
      </c>
      <c r="S103" s="100" t="s">
        <v>52</v>
      </c>
      <c r="T103" s="103" t="s">
        <v>97</v>
      </c>
      <c r="U103" s="103" t="s">
        <v>316</v>
      </c>
      <c r="V103" s="103" t="s">
        <v>316</v>
      </c>
      <c r="W103" s="103" t="s">
        <v>316</v>
      </c>
    </row>
    <row r="104" spans="1:23" ht="15.75" customHeight="1">
      <c r="A104" s="96">
        <v>106</v>
      </c>
      <c r="B104" s="97" t="s">
        <v>27</v>
      </c>
      <c r="C104" s="96" t="s">
        <v>985</v>
      </c>
      <c r="D104" s="96" t="s">
        <v>987</v>
      </c>
      <c r="E104" s="96" t="s">
        <v>988</v>
      </c>
      <c r="F104" s="96" t="s">
        <v>989</v>
      </c>
      <c r="G104" s="99" t="s">
        <v>39</v>
      </c>
      <c r="H104" s="100" t="s">
        <v>69</v>
      </c>
      <c r="I104" s="101">
        <v>2011</v>
      </c>
      <c r="J104" s="102" t="str">
        <f>HYPERLINK("http://www.pivovarmazak.cz","http://www.pivovarmazak.cz")</f>
        <v>http://www.pivovarmazak.cz</v>
      </c>
      <c r="K104" s="102" t="str">
        <f>HYPERLINK("https://www.facebook.com/pivovarmazak","https://www.facebook.com/pivovarmazak")</f>
        <v>https://www.facebook.com/pivovarmazak</v>
      </c>
      <c r="L104" s="96" t="s">
        <v>990</v>
      </c>
      <c r="M104" s="96" t="s">
        <v>991</v>
      </c>
      <c r="N104" s="96" t="s">
        <v>992</v>
      </c>
      <c r="O104" s="102" t="s">
        <v>993</v>
      </c>
      <c r="P104" s="96" t="s">
        <v>7584</v>
      </c>
      <c r="Q104" s="96">
        <v>48.856708900000001</v>
      </c>
      <c r="R104" s="96">
        <v>17.034821699999998</v>
      </c>
      <c r="S104" s="100" t="s">
        <v>7447</v>
      </c>
      <c r="T104" s="103" t="s">
        <v>325</v>
      </c>
      <c r="U104" s="103" t="s">
        <v>819</v>
      </c>
      <c r="V104" s="103" t="s">
        <v>819</v>
      </c>
      <c r="W104" s="103" t="s">
        <v>988</v>
      </c>
    </row>
    <row r="105" spans="1:23" ht="15.75" customHeight="1">
      <c r="A105" s="96">
        <v>107</v>
      </c>
      <c r="B105" s="97" t="s">
        <v>27</v>
      </c>
      <c r="C105" s="96" t="s">
        <v>995</v>
      </c>
      <c r="D105" s="96" t="s">
        <v>996</v>
      </c>
      <c r="E105" s="96" t="s">
        <v>997</v>
      </c>
      <c r="F105" s="96" t="s">
        <v>998</v>
      </c>
      <c r="G105" s="99" t="s">
        <v>39</v>
      </c>
      <c r="H105" s="100" t="s">
        <v>89</v>
      </c>
      <c r="I105" s="101" t="s">
        <v>1138</v>
      </c>
      <c r="J105" s="96" t="s">
        <v>999</v>
      </c>
      <c r="K105" s="96"/>
      <c r="L105" s="96" t="s">
        <v>1000</v>
      </c>
      <c r="M105" s="96"/>
      <c r="N105" s="96" t="s">
        <v>1002</v>
      </c>
      <c r="O105" s="96"/>
      <c r="P105" s="96" t="s">
        <v>7585</v>
      </c>
      <c r="Q105" s="101">
        <v>49.770366899999999</v>
      </c>
      <c r="R105" s="101">
        <v>13.3632878</v>
      </c>
      <c r="S105" s="100" t="s">
        <v>52</v>
      </c>
      <c r="T105" s="103" t="s">
        <v>217</v>
      </c>
      <c r="U105" s="103" t="s">
        <v>1139</v>
      </c>
      <c r="V105" s="103" t="s">
        <v>1140</v>
      </c>
      <c r="W105" s="103" t="s">
        <v>1140</v>
      </c>
    </row>
    <row r="106" spans="1:23" ht="15.75" customHeight="1">
      <c r="A106" s="96">
        <v>108</v>
      </c>
      <c r="B106" s="97" t="s">
        <v>27</v>
      </c>
      <c r="C106" s="96" t="s">
        <v>1004</v>
      </c>
      <c r="D106" s="96" t="s">
        <v>1005</v>
      </c>
      <c r="E106" s="96" t="s">
        <v>1006</v>
      </c>
      <c r="F106" s="96" t="s">
        <v>1007</v>
      </c>
      <c r="G106" s="99" t="s">
        <v>39</v>
      </c>
      <c r="H106" s="100" t="s">
        <v>60</v>
      </c>
      <c r="I106" s="101">
        <v>2000</v>
      </c>
      <c r="J106" s="102" t="str">
        <f>HYPERLINK("http://www.medlesice.cz","http://www.medlesice.cz")</f>
        <v>http://www.medlesice.cz</v>
      </c>
      <c r="K106" s="96"/>
      <c r="L106" s="96" t="s">
        <v>1009</v>
      </c>
      <c r="M106" s="96"/>
      <c r="N106" s="96" t="s">
        <v>1010</v>
      </c>
      <c r="O106" s="102" t="s">
        <v>1011</v>
      </c>
      <c r="P106" s="96" t="s">
        <v>7586</v>
      </c>
      <c r="Q106" s="96">
        <v>49.977772000000002</v>
      </c>
      <c r="R106" s="96">
        <v>15.770657</v>
      </c>
      <c r="S106" s="100" t="s">
        <v>52</v>
      </c>
      <c r="T106" s="103" t="s">
        <v>483</v>
      </c>
      <c r="U106" s="103" t="s">
        <v>702</v>
      </c>
      <c r="V106" s="103" t="s">
        <v>702</v>
      </c>
      <c r="W106" s="103" t="s">
        <v>702</v>
      </c>
    </row>
    <row r="107" spans="1:23" ht="15.75" customHeight="1">
      <c r="A107" s="96">
        <v>109</v>
      </c>
      <c r="B107" s="97" t="s">
        <v>27</v>
      </c>
      <c r="C107" s="96" t="s">
        <v>1013</v>
      </c>
      <c r="D107" s="96" t="s">
        <v>1014</v>
      </c>
      <c r="E107" s="96" t="s">
        <v>1015</v>
      </c>
      <c r="F107" s="96" t="s">
        <v>1016</v>
      </c>
      <c r="G107" s="99" t="s">
        <v>39</v>
      </c>
      <c r="H107" s="100" t="s">
        <v>60</v>
      </c>
      <c r="I107" s="101">
        <v>2013</v>
      </c>
      <c r="J107" s="102" t="str">
        <f>HYPERLINK("http://www.pivovarekmelicharek.cz","http://www.pivovarekmelicharek.cz")</f>
        <v>http://www.pivovarekmelicharek.cz</v>
      </c>
      <c r="K107" s="102" t="str">
        <f>HYPERLINK("https://www.facebook.com/pivovarekmelicharek","https://www.facebook.com/pivovarekmelicharek")</f>
        <v>https://www.facebook.com/pivovarekmelicharek</v>
      </c>
      <c r="L107" s="96" t="s">
        <v>1019</v>
      </c>
      <c r="M107" s="96"/>
      <c r="N107" s="96" t="s">
        <v>1020</v>
      </c>
      <c r="O107" s="96"/>
      <c r="P107" s="96" t="s">
        <v>7587</v>
      </c>
      <c r="Q107" s="96">
        <v>49.639194000000003</v>
      </c>
      <c r="R107" s="96">
        <v>17.211545999999899</v>
      </c>
      <c r="S107" s="100" t="s">
        <v>7447</v>
      </c>
      <c r="T107" s="103" t="s">
        <v>312</v>
      </c>
      <c r="U107" s="103" t="s">
        <v>1034</v>
      </c>
      <c r="V107" s="103" t="s">
        <v>1034</v>
      </c>
      <c r="W107" s="103" t="s">
        <v>1015</v>
      </c>
    </row>
    <row r="108" spans="1:23" ht="15.75" customHeight="1">
      <c r="A108" s="96">
        <v>110</v>
      </c>
      <c r="B108" s="97" t="s">
        <v>27</v>
      </c>
      <c r="C108" s="96" t="s">
        <v>1023</v>
      </c>
      <c r="D108" s="96" t="s">
        <v>1024</v>
      </c>
      <c r="E108" s="96" t="s">
        <v>1023</v>
      </c>
      <c r="F108" s="96" t="s">
        <v>1025</v>
      </c>
      <c r="G108" s="99" t="s">
        <v>39</v>
      </c>
      <c r="H108" s="100" t="s">
        <v>89</v>
      </c>
      <c r="I108" s="101" t="s">
        <v>1155</v>
      </c>
      <c r="J108" s="96" t="s">
        <v>1026</v>
      </c>
      <c r="K108" s="96"/>
      <c r="L108" s="96" t="s">
        <v>1027</v>
      </c>
      <c r="M108" s="96" t="s">
        <v>1028</v>
      </c>
      <c r="N108" s="96" t="s">
        <v>1023</v>
      </c>
      <c r="O108" s="96"/>
      <c r="P108" s="96" t="s">
        <v>7588</v>
      </c>
      <c r="Q108" s="101">
        <v>50.358065000000003</v>
      </c>
      <c r="R108" s="101">
        <v>13.815588</v>
      </c>
      <c r="S108" s="100" t="s">
        <v>7447</v>
      </c>
      <c r="T108" s="103" t="s">
        <v>353</v>
      </c>
      <c r="U108" s="103" t="s">
        <v>1023</v>
      </c>
      <c r="V108" s="103" t="s">
        <v>1023</v>
      </c>
      <c r="W108" s="103" t="s">
        <v>1023</v>
      </c>
    </row>
    <row r="109" spans="1:23" ht="15.75" customHeight="1">
      <c r="A109" s="96">
        <v>111</v>
      </c>
      <c r="B109" s="97" t="s">
        <v>27</v>
      </c>
      <c r="C109" s="96" t="s">
        <v>1030</v>
      </c>
      <c r="D109" s="96" t="s">
        <v>1031</v>
      </c>
      <c r="E109" s="96" t="s">
        <v>1032</v>
      </c>
      <c r="F109" s="96" t="s">
        <v>1033</v>
      </c>
      <c r="G109" s="99" t="s">
        <v>39</v>
      </c>
      <c r="H109" s="100" t="s">
        <v>60</v>
      </c>
      <c r="I109" s="101">
        <v>1997</v>
      </c>
      <c r="J109" s="102" t="str">
        <f>HYPERLINK("http://www.minipivovarmiletin.cz","http://www.minipivovarmiletin.cz")</f>
        <v>http://www.minipivovarmiletin.cz</v>
      </c>
      <c r="K109" s="102" t="str">
        <f>HYPERLINK("https://www.facebook.com/pivovar.miletin","https://www.facebook.com/pivovar.miletin")</f>
        <v>https://www.facebook.com/pivovar.miletin</v>
      </c>
      <c r="L109" s="96" t="s">
        <v>1035</v>
      </c>
      <c r="M109" s="96"/>
      <c r="N109" s="96" t="s">
        <v>1036</v>
      </c>
      <c r="O109" s="96" t="s">
        <v>1038</v>
      </c>
      <c r="P109" s="96" t="s">
        <v>7589</v>
      </c>
      <c r="Q109" s="96">
        <v>50.404079000000003</v>
      </c>
      <c r="R109" s="96">
        <v>15.681191</v>
      </c>
      <c r="S109" s="100" t="s">
        <v>52</v>
      </c>
      <c r="T109" s="103" t="s">
        <v>207</v>
      </c>
      <c r="U109" s="103" t="s">
        <v>435</v>
      </c>
      <c r="V109" s="103" t="s">
        <v>1165</v>
      </c>
      <c r="W109" s="103" t="s">
        <v>1032</v>
      </c>
    </row>
    <row r="110" spans="1:23" ht="15.75" customHeight="1">
      <c r="A110" s="96">
        <v>112</v>
      </c>
      <c r="B110" s="97" t="s">
        <v>27</v>
      </c>
      <c r="C110" s="96" t="s">
        <v>1041</v>
      </c>
      <c r="D110" s="96" t="s">
        <v>1042</v>
      </c>
      <c r="E110" s="96" t="s">
        <v>1043</v>
      </c>
      <c r="F110" s="96" t="s">
        <v>1044</v>
      </c>
      <c r="G110" s="99" t="s">
        <v>39</v>
      </c>
      <c r="H110" s="100" t="s">
        <v>40</v>
      </c>
      <c r="I110" s="101">
        <v>2010</v>
      </c>
      <c r="J110" s="102" t="str">
        <f>HYPERLINK("http://www.mmxpivo.com","http://www.mmxpivo.com")</f>
        <v>http://www.mmxpivo.com</v>
      </c>
      <c r="K110" s="102" t="str">
        <f>HYPERLINK("https://www.facebook.com/MMXpivovar","https://www.facebook.com/MMXpivovar")</f>
        <v>https://www.facebook.com/MMXpivovar</v>
      </c>
      <c r="L110" s="96" t="s">
        <v>1045</v>
      </c>
      <c r="M110" s="96"/>
      <c r="N110" s="96" t="s">
        <v>1041</v>
      </c>
      <c r="O110" s="102" t="s">
        <v>1047</v>
      </c>
      <c r="P110" s="96" t="s">
        <v>7590</v>
      </c>
      <c r="Q110" s="96">
        <v>49.923180000000002</v>
      </c>
      <c r="R110" s="96">
        <v>14.258632499999999</v>
      </c>
      <c r="S110" s="100" t="s">
        <v>52</v>
      </c>
      <c r="T110" s="103" t="s">
        <v>71</v>
      </c>
      <c r="U110" s="103" t="s">
        <v>295</v>
      </c>
      <c r="V110" s="103" t="s">
        <v>296</v>
      </c>
      <c r="W110" s="103" t="s">
        <v>1173</v>
      </c>
    </row>
    <row r="111" spans="1:23" ht="15.75" customHeight="1">
      <c r="A111" s="96">
        <v>113</v>
      </c>
      <c r="B111" s="97" t="s">
        <v>27</v>
      </c>
      <c r="C111" s="96" t="s">
        <v>1051</v>
      </c>
      <c r="D111" s="96" t="s">
        <v>1052</v>
      </c>
      <c r="E111" s="96" t="s">
        <v>1051</v>
      </c>
      <c r="F111" s="96" t="s">
        <v>1053</v>
      </c>
      <c r="G111" s="99" t="s">
        <v>39</v>
      </c>
      <c r="H111" s="100" t="s">
        <v>40</v>
      </c>
      <c r="I111" s="101">
        <v>2012</v>
      </c>
      <c r="J111" s="102" t="str">
        <f>HYPERLINK("http://www.pivovar.in","http://www.pivovar.in")</f>
        <v>http://www.pivovar.in</v>
      </c>
      <c r="K111" s="102" t="str">
        <f>HYPERLINK("https://www.facebook.com/pivovarmoravskyzizkov","https://www.facebook.com/pivovarmoravskyzizkov")</f>
        <v>https://www.facebook.com/pivovarmoravskyzizkov</v>
      </c>
      <c r="L111" s="96" t="s">
        <v>1054</v>
      </c>
      <c r="M111" s="96"/>
      <c r="N111" s="96" t="s">
        <v>1056</v>
      </c>
      <c r="O111" s="96"/>
      <c r="P111" s="96" t="s">
        <v>7591</v>
      </c>
      <c r="Q111" s="96">
        <v>48.835607000000003</v>
      </c>
      <c r="R111" s="96">
        <v>16.932524999999899</v>
      </c>
      <c r="S111" s="100" t="s">
        <v>52</v>
      </c>
      <c r="T111" s="103" t="s">
        <v>325</v>
      </c>
      <c r="U111" s="103" t="s">
        <v>256</v>
      </c>
      <c r="V111" s="103" t="s">
        <v>256</v>
      </c>
      <c r="W111" s="103" t="s">
        <v>1051</v>
      </c>
    </row>
    <row r="112" spans="1:23" ht="15.75" customHeight="1">
      <c r="A112" s="96">
        <v>114</v>
      </c>
      <c r="B112" s="97" t="s">
        <v>27</v>
      </c>
      <c r="C112" s="96" t="s">
        <v>1058</v>
      </c>
      <c r="D112" s="96" t="s">
        <v>1058</v>
      </c>
      <c r="E112" s="96" t="s">
        <v>1034</v>
      </c>
      <c r="F112" s="96" t="s">
        <v>1059</v>
      </c>
      <c r="G112" s="99" t="s">
        <v>39</v>
      </c>
      <c r="H112" s="100" t="s">
        <v>40</v>
      </c>
      <c r="I112" s="101">
        <v>2006</v>
      </c>
      <c r="J112" s="102" t="str">
        <f>HYPERLINK("http://www.hostinec-moritz.cz","http://www.hostinec-moritz.cz")</f>
        <v>http://www.hostinec-moritz.cz</v>
      </c>
      <c r="K112" s="102" t="str">
        <f>HYPERLINK("https://www.facebook.com/Moritz-Olomouc-158686700856231","https://www.facebook.com/Moritz-Olomouc-158686700856231")</f>
        <v>https://www.facebook.com/Moritz-Olomouc-158686700856231</v>
      </c>
      <c r="L112" s="96" t="s">
        <v>1060</v>
      </c>
      <c r="M112" s="96"/>
      <c r="N112" s="96" t="s">
        <v>1062</v>
      </c>
      <c r="O112" s="96"/>
      <c r="P112" s="96" t="s">
        <v>7592</v>
      </c>
      <c r="Q112" s="96">
        <v>49.590609399999998</v>
      </c>
      <c r="R112" s="96">
        <v>17.249724400000002</v>
      </c>
      <c r="S112" s="100" t="s">
        <v>52</v>
      </c>
      <c r="T112" s="103" t="s">
        <v>312</v>
      </c>
      <c r="U112" s="103" t="s">
        <v>1034</v>
      </c>
      <c r="V112" s="103" t="s">
        <v>1034</v>
      </c>
      <c r="W112" s="103" t="s">
        <v>1034</v>
      </c>
    </row>
    <row r="113" spans="1:23" ht="15.75" customHeight="1">
      <c r="A113" s="96">
        <v>115</v>
      </c>
      <c r="B113" s="97" t="s">
        <v>27</v>
      </c>
      <c r="C113" s="96" t="s">
        <v>1065</v>
      </c>
      <c r="D113" s="96" t="s">
        <v>1066</v>
      </c>
      <c r="E113" s="96" t="s">
        <v>1067</v>
      </c>
      <c r="F113" s="96" t="s">
        <v>1068</v>
      </c>
      <c r="G113" s="99" t="s">
        <v>39</v>
      </c>
      <c r="H113" s="100" t="s">
        <v>40</v>
      </c>
      <c r="I113" s="101">
        <v>2011</v>
      </c>
      <c r="J113" s="102" t="str">
        <f>HYPERLINK("http://www.pivovareknakopecku.cz","http://www.pivovareknakopecku.cz")</f>
        <v>http://www.pivovareknakopecku.cz</v>
      </c>
      <c r="K113" s="102" t="str">
        <f>HYPERLINK("https://www.facebook.com/pivovarek.na.kopecku","https://www.facebook.com/pivovarek.na.kopecku")</f>
        <v>https://www.facebook.com/pivovarek.na.kopecku</v>
      </c>
      <c r="L113" s="96" t="s">
        <v>1069</v>
      </c>
      <c r="M113" s="96"/>
      <c r="N113" s="96" t="s">
        <v>1071</v>
      </c>
      <c r="O113" s="102" t="s">
        <v>1072</v>
      </c>
      <c r="P113" s="96" t="s">
        <v>7593</v>
      </c>
      <c r="Q113" s="96">
        <v>49.752184</v>
      </c>
      <c r="R113" s="96">
        <v>16.460816000000001</v>
      </c>
      <c r="S113" s="100" t="s">
        <v>52</v>
      </c>
      <c r="T113" s="103" t="s">
        <v>483</v>
      </c>
      <c r="U113" s="103" t="s">
        <v>1067</v>
      </c>
      <c r="V113" s="103" t="s">
        <v>1067</v>
      </c>
      <c r="W113" s="103" t="s">
        <v>1067</v>
      </c>
    </row>
    <row r="114" spans="1:23" ht="15.75" customHeight="1">
      <c r="A114" s="96">
        <v>116</v>
      </c>
      <c r="B114" s="97" t="s">
        <v>27</v>
      </c>
      <c r="C114" s="96" t="s">
        <v>1074</v>
      </c>
      <c r="D114" s="96" t="s">
        <v>1076</v>
      </c>
      <c r="E114" s="96" t="s">
        <v>1078</v>
      </c>
      <c r="F114" s="96" t="s">
        <v>1080</v>
      </c>
      <c r="G114" s="99" t="s">
        <v>39</v>
      </c>
      <c r="H114" s="100" t="s">
        <v>40</v>
      </c>
      <c r="I114" s="101">
        <v>2011</v>
      </c>
      <c r="J114" s="102" t="str">
        <f>HYPERLINK("http://dzekuvranc.cz","http://dzekuvranc.cz")</f>
        <v>http://dzekuvranc.cz</v>
      </c>
      <c r="K114" s="102" t="str">
        <f>HYPERLINK("https://www.facebook.com/dzekuv.ranc","https://www.facebook.com/dzekuv.ranc")</f>
        <v>https://www.facebook.com/dzekuv.ranc</v>
      </c>
      <c r="L114" s="96" t="s">
        <v>1081</v>
      </c>
      <c r="M114" s="96"/>
      <c r="N114" s="96" t="s">
        <v>1083</v>
      </c>
      <c r="O114" s="102" t="s">
        <v>1084</v>
      </c>
      <c r="P114" s="96" t="s">
        <v>7594</v>
      </c>
      <c r="Q114" s="96">
        <v>49.696556000000001</v>
      </c>
      <c r="R114" s="96">
        <v>15.818908</v>
      </c>
      <c r="S114" s="100" t="s">
        <v>52</v>
      </c>
      <c r="T114" s="103" t="s">
        <v>144</v>
      </c>
      <c r="U114" s="103" t="s">
        <v>135</v>
      </c>
      <c r="V114" s="103" t="s">
        <v>561</v>
      </c>
      <c r="W114" s="103" t="s">
        <v>1078</v>
      </c>
    </row>
    <row r="115" spans="1:23" ht="15.75" customHeight="1">
      <c r="A115" s="96">
        <v>117</v>
      </c>
      <c r="B115" s="97" t="s">
        <v>27</v>
      </c>
      <c r="C115" s="96" t="s">
        <v>1086</v>
      </c>
      <c r="D115" s="96" t="s">
        <v>1087</v>
      </c>
      <c r="E115" s="96" t="s">
        <v>1088</v>
      </c>
      <c r="F115" s="96" t="s">
        <v>1089</v>
      </c>
      <c r="G115" s="99" t="s">
        <v>39</v>
      </c>
      <c r="H115" s="100" t="s">
        <v>40</v>
      </c>
      <c r="I115" s="101">
        <v>2012</v>
      </c>
      <c r="J115" s="102" t="str">
        <f>HYPERLINK("http://www.pivovar-neumann.cz","http://www.pivovar-neumann.cz")</f>
        <v>http://www.pivovar-neumann.cz</v>
      </c>
      <c r="K115" s="102" t="str">
        <f>HYPERLINK("https://www.facebook.com/RodinnyPivovarNeumann","https://www.facebook.com/RodinnyPivovarNeumann")</f>
        <v>https://www.facebook.com/RodinnyPivovarNeumann</v>
      </c>
      <c r="L115" s="96" t="s">
        <v>1090</v>
      </c>
      <c r="M115" s="96"/>
      <c r="N115" s="96" t="s">
        <v>1091</v>
      </c>
      <c r="O115" s="96"/>
      <c r="P115" s="96" t="s">
        <v>7595</v>
      </c>
      <c r="Q115" s="96">
        <v>50.352941000000001</v>
      </c>
      <c r="R115" s="96">
        <v>14.6934609999999</v>
      </c>
      <c r="S115" s="100" t="s">
        <v>52</v>
      </c>
      <c r="T115" s="103" t="s">
        <v>71</v>
      </c>
      <c r="U115" s="103" t="s">
        <v>1223</v>
      </c>
      <c r="V115" s="103" t="s">
        <v>1223</v>
      </c>
      <c r="W115" s="103" t="s">
        <v>1088</v>
      </c>
    </row>
    <row r="116" spans="1:23" ht="15.75" customHeight="1">
      <c r="A116" s="96">
        <v>118</v>
      </c>
      <c r="B116" s="97" t="s">
        <v>27</v>
      </c>
      <c r="C116" s="96" t="s">
        <v>1093</v>
      </c>
      <c r="D116" s="96" t="s">
        <v>1094</v>
      </c>
      <c r="E116" s="96" t="s">
        <v>419</v>
      </c>
      <c r="F116" s="96" t="s">
        <v>1095</v>
      </c>
      <c r="G116" s="99" t="s">
        <v>39</v>
      </c>
      <c r="H116" s="100" t="s">
        <v>40</v>
      </c>
      <c r="I116" s="101">
        <v>1993</v>
      </c>
      <c r="J116" s="102" t="str">
        <f>HYPERLINK("http://www.npivovar.cz","http://www.npivovar.cz")</f>
        <v>http://www.npivovar.cz</v>
      </c>
      <c r="K116" s="102" t="str">
        <f>HYPERLINK("https://www.facebook.com/NovomestskyPivovar","https://www.facebook.com/NovomestskyPivovar")</f>
        <v>https://www.facebook.com/NovomestskyPivovar</v>
      </c>
      <c r="L116" s="96" t="s">
        <v>1097</v>
      </c>
      <c r="M116" s="96"/>
      <c r="N116" s="96" t="s">
        <v>1093</v>
      </c>
      <c r="O116" s="96"/>
      <c r="P116" s="96" t="s">
        <v>7596</v>
      </c>
      <c r="Q116" s="96">
        <v>50.079546700000002</v>
      </c>
      <c r="R116" s="96">
        <v>14.423105</v>
      </c>
      <c r="S116" s="100" t="s">
        <v>7447</v>
      </c>
      <c r="T116" s="103" t="s">
        <v>58</v>
      </c>
      <c r="U116" s="103" t="s">
        <v>58</v>
      </c>
      <c r="V116" s="103" t="s">
        <v>58</v>
      </c>
      <c r="W116" s="103" t="s">
        <v>59</v>
      </c>
    </row>
    <row r="117" spans="1:23" ht="15.75" customHeight="1">
      <c r="A117" s="96">
        <v>119</v>
      </c>
      <c r="B117" s="97" t="s">
        <v>27</v>
      </c>
      <c r="C117" s="96" t="s">
        <v>1100</v>
      </c>
      <c r="D117" s="96" t="s">
        <v>1101</v>
      </c>
      <c r="E117" s="96" t="s">
        <v>1100</v>
      </c>
      <c r="F117" s="96" t="s">
        <v>1102</v>
      </c>
      <c r="G117" s="99" t="s">
        <v>39</v>
      </c>
      <c r="H117" s="100" t="s">
        <v>78</v>
      </c>
      <c r="I117" s="101">
        <v>1872</v>
      </c>
      <c r="J117" s="102" t="str">
        <f>HYPERLINK("http://www.novopackepivo.cz","http://www.novopackepivo.cz")</f>
        <v>http://www.novopackepivo.cz</v>
      </c>
      <c r="K117" s="102" t="str">
        <f>HYPERLINK("https://www.facebook.com/Pivovar-Nová-Paka-as-184664378069","https://www.facebook.com/Pivovar-Nová-Paka-as-184664378069")</f>
        <v>https://www.facebook.com/Pivovar-Nová-Paka-as-184664378069</v>
      </c>
      <c r="L117" s="96" t="s">
        <v>1103</v>
      </c>
      <c r="M117" s="96"/>
      <c r="N117" s="96" t="s">
        <v>1105</v>
      </c>
      <c r="O117" s="96"/>
      <c r="P117" s="96" t="s">
        <v>7597</v>
      </c>
      <c r="Q117" s="96">
        <v>50.487285999999898</v>
      </c>
      <c r="R117" s="96">
        <v>15.524425000000001</v>
      </c>
      <c r="S117" s="100" t="s">
        <v>7447</v>
      </c>
      <c r="T117" s="103" t="s">
        <v>207</v>
      </c>
      <c r="U117" s="103" t="s">
        <v>435</v>
      </c>
      <c r="V117" s="103" t="s">
        <v>1100</v>
      </c>
      <c r="W117" s="103" t="s">
        <v>1100</v>
      </c>
    </row>
    <row r="118" spans="1:23" ht="14.25" customHeight="1">
      <c r="A118" s="96">
        <v>120</v>
      </c>
      <c r="B118" s="97" t="s">
        <v>27</v>
      </c>
      <c r="C118" s="96" t="s">
        <v>1107</v>
      </c>
      <c r="D118" s="96" t="s">
        <v>1108</v>
      </c>
      <c r="E118" s="96" t="s">
        <v>1109</v>
      </c>
      <c r="F118" s="96" t="s">
        <v>1110</v>
      </c>
      <c r="G118" s="99" t="s">
        <v>39</v>
      </c>
      <c r="H118" s="100" t="s">
        <v>40</v>
      </c>
      <c r="I118" s="101">
        <v>2001</v>
      </c>
      <c r="J118" s="102" t="str">
        <f>HYPERLINK("http://www.sklarnaharrachov.cz","http://www.sklarnaharrachov.cz")</f>
        <v>http://www.sklarnaharrachov.cz</v>
      </c>
      <c r="K118" s="102" t="str">
        <f>HYPERLINK("https://www.facebook.com/sklarnaharrachov","https://www.facebook.com/sklarnaharrachov")</f>
        <v>https://www.facebook.com/sklarnaharrachov</v>
      </c>
      <c r="L118" s="96" t="s">
        <v>1111</v>
      </c>
      <c r="M118" s="96"/>
      <c r="N118" s="96" t="s">
        <v>1113</v>
      </c>
      <c r="O118" s="96"/>
      <c r="P118" s="96" t="s">
        <v>7598</v>
      </c>
      <c r="Q118" s="96">
        <v>50.782471000000001</v>
      </c>
      <c r="R118" s="96">
        <v>15.419483</v>
      </c>
      <c r="S118" s="100" t="s">
        <v>7447</v>
      </c>
      <c r="T118" s="103" t="s">
        <v>67</v>
      </c>
      <c r="U118" s="103" t="s">
        <v>1240</v>
      </c>
      <c r="V118" s="103" t="s">
        <v>1241</v>
      </c>
      <c r="W118" s="103" t="s">
        <v>1109</v>
      </c>
    </row>
    <row r="119" spans="1:23" ht="15.75" customHeight="1">
      <c r="A119" s="96">
        <v>121</v>
      </c>
      <c r="B119" s="97" t="s">
        <v>27</v>
      </c>
      <c r="C119" s="96" t="s">
        <v>1115</v>
      </c>
      <c r="D119" s="96" t="s">
        <v>1116</v>
      </c>
      <c r="E119" s="96" t="s">
        <v>1117</v>
      </c>
      <c r="F119" s="96" t="s">
        <v>1118</v>
      </c>
      <c r="G119" s="99" t="s">
        <v>39</v>
      </c>
      <c r="H119" s="100" t="s">
        <v>78</v>
      </c>
      <c r="I119" s="101">
        <v>1714</v>
      </c>
      <c r="J119" s="102" t="str">
        <f>HYPERLINK("http://www.pivovarbroumov.cz","http://www.pivovarbroumov.cz")</f>
        <v>http://www.pivovarbroumov.cz</v>
      </c>
      <c r="K119" s="96"/>
      <c r="L119" s="96" t="s">
        <v>1119</v>
      </c>
      <c r="M119" s="96"/>
      <c r="N119" s="96" t="s">
        <v>1121</v>
      </c>
      <c r="O119" s="96"/>
      <c r="P119" s="96" t="s">
        <v>7599</v>
      </c>
      <c r="Q119" s="96">
        <v>50.6037781</v>
      </c>
      <c r="R119" s="96">
        <v>16.334543100000001</v>
      </c>
      <c r="S119" s="100" t="s">
        <v>7447</v>
      </c>
      <c r="T119" s="103" t="s">
        <v>207</v>
      </c>
      <c r="U119" s="103" t="s">
        <v>1251</v>
      </c>
      <c r="V119" s="103" t="s">
        <v>1115</v>
      </c>
      <c r="W119" s="103" t="s">
        <v>1115</v>
      </c>
    </row>
    <row r="120" spans="1:23" ht="15.75" customHeight="1">
      <c r="A120" s="96">
        <v>122</v>
      </c>
      <c r="B120" s="97" t="s">
        <v>27</v>
      </c>
      <c r="C120" s="96" t="s">
        <v>1123</v>
      </c>
      <c r="D120" s="96" t="s">
        <v>1124</v>
      </c>
      <c r="E120" s="96" t="s">
        <v>1125</v>
      </c>
      <c r="F120" s="96" t="s">
        <v>1126</v>
      </c>
      <c r="G120" s="99" t="s">
        <v>39</v>
      </c>
      <c r="H120" s="100" t="s">
        <v>69</v>
      </c>
      <c r="I120" s="101" t="s">
        <v>1127</v>
      </c>
      <c r="J120" s="102" t="str">
        <f>HYPERLINK("http://pivovarhelf.cz","http://pivovarhelf.cz")</f>
        <v>http://pivovarhelf.cz</v>
      </c>
      <c r="K120" s="102" t="str">
        <f>HYPERLINK("https://www.facebook.com/pivovarHELF","https://www.facebook.com/pivovarHELF")</f>
        <v>https://www.facebook.com/pivovarHELF</v>
      </c>
      <c r="L120" s="96" t="s">
        <v>1128</v>
      </c>
      <c r="M120" s="96" t="s">
        <v>1130</v>
      </c>
      <c r="N120" s="96" t="s">
        <v>1131</v>
      </c>
      <c r="O120" s="96"/>
      <c r="P120" s="96" t="s">
        <v>7600</v>
      </c>
      <c r="Q120" s="96">
        <v>49.5099667</v>
      </c>
      <c r="R120" s="96">
        <v>17.520281700000002</v>
      </c>
      <c r="S120" s="100" t="s">
        <v>52</v>
      </c>
      <c r="T120" s="103" t="s">
        <v>312</v>
      </c>
      <c r="U120" s="103" t="s">
        <v>1153</v>
      </c>
      <c r="V120" s="103" t="s">
        <v>1267</v>
      </c>
      <c r="W120" s="103" t="s">
        <v>1125</v>
      </c>
    </row>
    <row r="121" spans="1:23" ht="15.75" customHeight="1">
      <c r="A121" s="96">
        <v>123</v>
      </c>
      <c r="B121" s="97" t="s">
        <v>27</v>
      </c>
      <c r="C121" s="96" t="s">
        <v>1134</v>
      </c>
      <c r="D121" s="96" t="s">
        <v>1135</v>
      </c>
      <c r="E121" s="96" t="s">
        <v>1136</v>
      </c>
      <c r="F121" s="96" t="s">
        <v>1137</v>
      </c>
      <c r="G121" s="99" t="s">
        <v>39</v>
      </c>
      <c r="H121" s="100" t="s">
        <v>78</v>
      </c>
      <c r="I121" s="101">
        <v>1897</v>
      </c>
      <c r="J121" s="102" t="str">
        <f>HYPERLINK("http://www.ostravar.cz","http://www.ostravar.cz")</f>
        <v>http://www.ostravar.cz</v>
      </c>
      <c r="K121" s="102" t="str">
        <f>HYPERLINK("https://www.facebook.com/OSTRAVAR","https://www.facebook.com/OSTRAVAR")</f>
        <v>https://www.facebook.com/OSTRAVAR</v>
      </c>
      <c r="L121" s="96" t="s">
        <v>1141</v>
      </c>
      <c r="M121" s="96"/>
      <c r="N121" s="96" t="s">
        <v>1142</v>
      </c>
      <c r="O121" s="96"/>
      <c r="P121" s="96" t="s">
        <v>7601</v>
      </c>
      <c r="Q121" s="96">
        <v>49.838776699999997</v>
      </c>
      <c r="R121" s="96">
        <v>18.2733025</v>
      </c>
      <c r="S121" s="100" t="s">
        <v>52</v>
      </c>
      <c r="T121" s="103" t="s">
        <v>121</v>
      </c>
      <c r="U121" s="103" t="s">
        <v>122</v>
      </c>
      <c r="V121" s="103" t="s">
        <v>123</v>
      </c>
      <c r="W121" s="103" t="s">
        <v>123</v>
      </c>
    </row>
    <row r="122" spans="1:23" ht="15.75" customHeight="1">
      <c r="A122" s="96">
        <v>124</v>
      </c>
      <c r="B122" s="97" t="s">
        <v>27</v>
      </c>
      <c r="C122" s="96" t="s">
        <v>1145</v>
      </c>
      <c r="D122" s="96" t="s">
        <v>1146</v>
      </c>
      <c r="E122" s="96" t="s">
        <v>1145</v>
      </c>
      <c r="F122" s="96" t="s">
        <v>1147</v>
      </c>
      <c r="G122" s="99" t="s">
        <v>39</v>
      </c>
      <c r="H122" s="100" t="s">
        <v>40</v>
      </c>
      <c r="I122" s="101">
        <v>2009</v>
      </c>
      <c r="J122" s="102" t="str">
        <f>HYPERLINK("http://www.minipivovarpacov.cz","http://www.minipivovarpacov.cz")</f>
        <v>http://www.minipivovarpacov.cz</v>
      </c>
      <c r="K122" s="102" t="str">
        <f>HYPERLINK("https://www.facebook.com/Rodinný-minipivovar-Pacov-400349516722196","https://www.facebook.com/Rodinný-minipivovar-Pacov-400349516722196")</f>
        <v>https://www.facebook.com/Rodinný-minipivovar-Pacov-400349516722196</v>
      </c>
      <c r="L122" s="96" t="s">
        <v>1148</v>
      </c>
      <c r="M122" s="96"/>
      <c r="N122" s="96" t="s">
        <v>1149</v>
      </c>
      <c r="O122" s="96"/>
      <c r="P122" s="96" t="s">
        <v>7602</v>
      </c>
      <c r="Q122" s="96">
        <v>49.471505800000003</v>
      </c>
      <c r="R122" s="96">
        <v>15.0022222</v>
      </c>
      <c r="S122" s="100" t="s">
        <v>7447</v>
      </c>
      <c r="T122" s="103" t="s">
        <v>144</v>
      </c>
      <c r="U122" s="103" t="s">
        <v>227</v>
      </c>
      <c r="V122" s="103" t="s">
        <v>1145</v>
      </c>
      <c r="W122" s="103" t="s">
        <v>1145</v>
      </c>
    </row>
    <row r="123" spans="1:23" ht="15.75" customHeight="1">
      <c r="A123" s="96">
        <v>125</v>
      </c>
      <c r="B123" s="97" t="s">
        <v>27</v>
      </c>
      <c r="C123" s="96" t="s">
        <v>1151</v>
      </c>
      <c r="D123" s="96" t="s">
        <v>1152</v>
      </c>
      <c r="E123" s="96" t="s">
        <v>1153</v>
      </c>
      <c r="F123" s="96" t="s">
        <v>1154</v>
      </c>
      <c r="G123" s="99" t="s">
        <v>39</v>
      </c>
      <c r="H123" s="100" t="s">
        <v>40</v>
      </c>
      <c r="I123" s="101">
        <v>2009</v>
      </c>
      <c r="J123" s="102" t="str">
        <f>HYPERLINK("http://www.parnikpivovar.cz","http://www.parnikpivovar.cz")</f>
        <v>http://www.parnikpivovar.cz</v>
      </c>
      <c r="K123" s="102" t="str">
        <f>HYPERLINK("https://www.facebook.com/parnikpivovar","https://www.facebook.com/parnikpivovar")</f>
        <v>https://www.facebook.com/parnikpivovar</v>
      </c>
      <c r="L123" s="96" t="s">
        <v>1156</v>
      </c>
      <c r="M123" s="96"/>
      <c r="N123" s="96" t="s">
        <v>1158</v>
      </c>
      <c r="O123" s="102" t="s">
        <v>1159</v>
      </c>
      <c r="P123" s="96" t="s">
        <v>7603</v>
      </c>
      <c r="Q123" s="96">
        <v>49.444965000000003</v>
      </c>
      <c r="R123" s="96">
        <v>17.451494</v>
      </c>
      <c r="S123" s="100" t="s">
        <v>52</v>
      </c>
      <c r="T123" s="103" t="s">
        <v>312</v>
      </c>
      <c r="U123" s="103" t="s">
        <v>1153</v>
      </c>
      <c r="V123" s="103" t="s">
        <v>1153</v>
      </c>
      <c r="W123" s="103" t="s">
        <v>1153</v>
      </c>
    </row>
    <row r="124" spans="1:23" ht="15.75" customHeight="1">
      <c r="A124" s="96">
        <v>126</v>
      </c>
      <c r="B124" s="97" t="s">
        <v>27</v>
      </c>
      <c r="C124" s="96" t="s">
        <v>1161</v>
      </c>
      <c r="D124" s="96" t="s">
        <v>1162</v>
      </c>
      <c r="E124" s="96" t="s">
        <v>1163</v>
      </c>
      <c r="F124" s="96" t="s">
        <v>1164</v>
      </c>
      <c r="G124" s="99" t="s">
        <v>39</v>
      </c>
      <c r="H124" s="100" t="s">
        <v>40</v>
      </c>
      <c r="I124" s="101">
        <v>2012</v>
      </c>
      <c r="J124" s="102" t="str">
        <f>HYPERLINK("http://www.lucnibouda.cz","http://www.lucnibouda.cz")</f>
        <v>http://www.lucnibouda.cz</v>
      </c>
      <c r="K124" s="102" t="str">
        <f>HYPERLINK("https://www.facebook.com/LucniboudaCZ","https://www.facebook.com/LucniboudaCZ")</f>
        <v>https://www.facebook.com/LucniboudaCZ</v>
      </c>
      <c r="L124" s="96" t="s">
        <v>1166</v>
      </c>
      <c r="M124" s="96"/>
      <c r="N124" s="96" t="s">
        <v>1161</v>
      </c>
      <c r="O124" s="96"/>
      <c r="P124" s="96" t="s">
        <v>7604</v>
      </c>
      <c r="Q124" s="96">
        <v>50.7343809999999</v>
      </c>
      <c r="R124" s="96">
        <v>15.697032</v>
      </c>
      <c r="S124" s="100" t="s">
        <v>52</v>
      </c>
      <c r="T124" s="103" t="s">
        <v>207</v>
      </c>
      <c r="U124" s="103" t="s">
        <v>586</v>
      </c>
      <c r="V124" s="103" t="s">
        <v>586</v>
      </c>
      <c r="W124" s="103" t="s">
        <v>1163</v>
      </c>
    </row>
    <row r="125" spans="1:23" ht="15.75" customHeight="1">
      <c r="A125" s="96">
        <v>127</v>
      </c>
      <c r="B125" s="97" t="s">
        <v>27</v>
      </c>
      <c r="C125" s="96" t="s">
        <v>1170</v>
      </c>
      <c r="D125" s="96" t="s">
        <v>1171</v>
      </c>
      <c r="E125" s="96" t="s">
        <v>1140</v>
      </c>
      <c r="F125" s="96" t="s">
        <v>1172</v>
      </c>
      <c r="G125" s="99" t="s">
        <v>39</v>
      </c>
      <c r="H125" s="100" t="s">
        <v>40</v>
      </c>
      <c r="I125" s="101">
        <v>2010</v>
      </c>
      <c r="J125" s="102" t="str">
        <f>HYPERLINK("http://www.pivopasak.cz","http://www.pivopasak.cz")</f>
        <v>http://www.pivopasak.cz</v>
      </c>
      <c r="K125" s="102" t="str">
        <f>HYPERLINK("https://www.facebook.com/Plzeňský-Pašák-144034892297019","https://www.facebook.com/Plzeňský-Pašák-144034892297019")</f>
        <v>https://www.facebook.com/Plzeňský-Pašák-144034892297019</v>
      </c>
      <c r="L125" s="96" t="s">
        <v>1174</v>
      </c>
      <c r="M125" s="96"/>
      <c r="N125" s="96" t="s">
        <v>1176</v>
      </c>
      <c r="O125" s="96"/>
      <c r="P125" s="96" t="s">
        <v>7605</v>
      </c>
      <c r="Q125" s="96">
        <v>49.746727999999898</v>
      </c>
      <c r="R125" s="96">
        <v>13.3677829999999</v>
      </c>
      <c r="S125" s="100" t="s">
        <v>52</v>
      </c>
      <c r="T125" s="103" t="s">
        <v>217</v>
      </c>
      <c r="U125" s="103" t="s">
        <v>1139</v>
      </c>
      <c r="V125" s="103" t="s">
        <v>1140</v>
      </c>
      <c r="W125" s="103" t="s">
        <v>1140</v>
      </c>
    </row>
    <row r="126" spans="1:23" ht="15.75" customHeight="1">
      <c r="A126" s="96">
        <v>128</v>
      </c>
      <c r="B126" s="97" t="s">
        <v>27</v>
      </c>
      <c r="C126" s="96" t="s">
        <v>1179</v>
      </c>
      <c r="D126" s="96" t="s">
        <v>1180</v>
      </c>
      <c r="E126" s="96" t="s">
        <v>1018</v>
      </c>
      <c r="F126" s="96" t="s">
        <v>1181</v>
      </c>
      <c r="G126" s="99" t="s">
        <v>39</v>
      </c>
      <c r="H126" s="100" t="s">
        <v>40</v>
      </c>
      <c r="I126" s="101">
        <v>1992</v>
      </c>
      <c r="J126" s="102" t="str">
        <f>HYPERLINK("http://www.hotelpegas.cz","http://www.hotelpegas.cz")</f>
        <v>http://www.hotelpegas.cz</v>
      </c>
      <c r="K126" s="102" t="str">
        <f>HYPERLINK("https://www.facebook.com/Hotel-Pegas-Brno-111384428892774","https://www.facebook.com/Hotel-Pegas-Brno-111384428892774")</f>
        <v>https://www.facebook.com/Hotel-Pegas-Brno-111384428892774</v>
      </c>
      <c r="L126" s="96" t="s">
        <v>1182</v>
      </c>
      <c r="M126" s="96"/>
      <c r="N126" s="96" t="s">
        <v>1184</v>
      </c>
      <c r="O126" s="96"/>
      <c r="P126" s="96" t="s">
        <v>7606</v>
      </c>
      <c r="Q126" s="96">
        <v>49.196213</v>
      </c>
      <c r="R126" s="96">
        <v>16.607095999999899</v>
      </c>
      <c r="S126" s="100" t="s">
        <v>52</v>
      </c>
      <c r="T126" s="103" t="s">
        <v>325</v>
      </c>
      <c r="U126" s="103" t="s">
        <v>1017</v>
      </c>
      <c r="V126" s="103" t="s">
        <v>1018</v>
      </c>
      <c r="W126" s="103" t="s">
        <v>1018</v>
      </c>
    </row>
    <row r="127" spans="1:23" ht="15.75" customHeight="1">
      <c r="A127" s="96">
        <v>129</v>
      </c>
      <c r="B127" s="97" t="s">
        <v>27</v>
      </c>
      <c r="C127" s="96" t="s">
        <v>1187</v>
      </c>
      <c r="D127" s="96" t="s">
        <v>1188</v>
      </c>
      <c r="E127" s="96" t="s">
        <v>986</v>
      </c>
      <c r="F127" s="96" t="s">
        <v>1189</v>
      </c>
      <c r="G127" s="99" t="s">
        <v>39</v>
      </c>
      <c r="H127" s="100" t="s">
        <v>60</v>
      </c>
      <c r="I127" s="101">
        <v>2006</v>
      </c>
      <c r="J127" s="102" t="str">
        <f>HYPERLINK("http://www.pivopermon.cz","http://www.pivopermon.cz")</f>
        <v>http://www.pivopermon.cz</v>
      </c>
      <c r="K127" s="102" t="str">
        <f>HYPERLINK("https://www.facebook.com/pivopermon","https://www.facebook.com/pivopermon")</f>
        <v>https://www.facebook.com/pivopermon</v>
      </c>
      <c r="L127" s="107" t="s">
        <v>1317</v>
      </c>
      <c r="M127" s="96"/>
      <c r="N127" s="96" t="s">
        <v>1192</v>
      </c>
      <c r="O127" s="96" t="s">
        <v>1194</v>
      </c>
      <c r="P127" s="96" t="s">
        <v>7607</v>
      </c>
      <c r="Q127" s="96">
        <v>50.178382200000001</v>
      </c>
      <c r="R127" s="96">
        <v>12.6375378</v>
      </c>
      <c r="S127" s="100" t="s">
        <v>52</v>
      </c>
      <c r="T127" s="103" t="s">
        <v>573</v>
      </c>
      <c r="U127" s="103" t="s">
        <v>986</v>
      </c>
      <c r="V127" s="103" t="s">
        <v>986</v>
      </c>
      <c r="W127" s="103" t="s">
        <v>986</v>
      </c>
    </row>
    <row r="128" spans="1:23" ht="15.75" customHeight="1">
      <c r="A128" s="96">
        <v>130</v>
      </c>
      <c r="B128" s="97" t="s">
        <v>27</v>
      </c>
      <c r="C128" s="96" t="s">
        <v>1196</v>
      </c>
      <c r="D128" s="96" t="s">
        <v>1197</v>
      </c>
      <c r="E128" s="96" t="s">
        <v>1198</v>
      </c>
      <c r="F128" s="96" t="s">
        <v>1199</v>
      </c>
      <c r="G128" s="99" t="s">
        <v>39</v>
      </c>
      <c r="H128" s="100" t="s">
        <v>78</v>
      </c>
      <c r="I128" s="101">
        <v>1871</v>
      </c>
      <c r="J128" s="102" t="str">
        <f>HYPERLINK("http://www.pernstejn.cz","http://www.pernstejn.cz")</f>
        <v>http://www.pernstejn.cz</v>
      </c>
      <c r="K128" s="102" t="str">
        <f>HYPERLINK("https://www.facebook.com/Pernstejn","https://www.facebook.com/Pernstejn")</f>
        <v>https://www.facebook.com/Pernstejn</v>
      </c>
      <c r="L128" s="96" t="s">
        <v>1200</v>
      </c>
      <c r="M128" s="96"/>
      <c r="N128" s="96" t="s">
        <v>1202</v>
      </c>
      <c r="O128" s="96"/>
      <c r="P128" s="96" t="s">
        <v>7608</v>
      </c>
      <c r="Q128" s="96">
        <v>50.035927800000003</v>
      </c>
      <c r="R128" s="96">
        <v>15.7614067</v>
      </c>
      <c r="S128" s="100" t="s">
        <v>52</v>
      </c>
      <c r="T128" s="103" t="s">
        <v>483</v>
      </c>
      <c r="U128" s="103" t="s">
        <v>1198</v>
      </c>
      <c r="V128" s="103" t="s">
        <v>1198</v>
      </c>
      <c r="W128" s="103" t="s">
        <v>1198</v>
      </c>
    </row>
    <row r="129" spans="1:23" ht="15.75" customHeight="1">
      <c r="A129" s="96">
        <v>131</v>
      </c>
      <c r="B129" s="97" t="s">
        <v>27</v>
      </c>
      <c r="C129" s="100" t="s">
        <v>1326</v>
      </c>
      <c r="D129" s="100" t="s">
        <v>1327</v>
      </c>
      <c r="E129" s="96" t="s">
        <v>1207</v>
      </c>
      <c r="F129" s="96" t="s">
        <v>1208</v>
      </c>
      <c r="G129" s="99" t="s">
        <v>39</v>
      </c>
      <c r="H129" s="100" t="s">
        <v>40</v>
      </c>
      <c r="I129" s="101">
        <v>2007</v>
      </c>
      <c r="J129" s="102" t="str">
        <f>HYPERLINK("http://www.zamek-zabreh.cz","http://www.zamek-zabreh.cz")</f>
        <v>http://www.zamek-zabreh.cz</v>
      </c>
      <c r="K129" s="102" t="str">
        <f>HYPERLINK("https://www.facebook.com/zamekzabreh","https://www.facebook.com/zamekzabreh")</f>
        <v>https://www.facebook.com/zamekzabreh</v>
      </c>
      <c r="L129" s="96" t="s">
        <v>1209</v>
      </c>
      <c r="M129" s="96"/>
      <c r="N129" s="96" t="s">
        <v>1205</v>
      </c>
      <c r="O129" s="102" t="s">
        <v>1212</v>
      </c>
      <c r="P129" s="96" t="s">
        <v>7609</v>
      </c>
      <c r="Q129" s="96">
        <v>49.807350300000003</v>
      </c>
      <c r="R129" s="96">
        <v>18.24004</v>
      </c>
      <c r="S129" s="100" t="s">
        <v>52</v>
      </c>
      <c r="T129" s="103" t="s">
        <v>121</v>
      </c>
      <c r="U129" s="103" t="s">
        <v>122</v>
      </c>
      <c r="V129" s="103" t="s">
        <v>123</v>
      </c>
      <c r="W129" s="103" t="s">
        <v>123</v>
      </c>
    </row>
    <row r="130" spans="1:23" ht="15.75" customHeight="1">
      <c r="A130" s="96">
        <v>132</v>
      </c>
      <c r="B130" s="97" t="s">
        <v>27</v>
      </c>
      <c r="C130" s="96" t="s">
        <v>1214</v>
      </c>
      <c r="D130" s="96" t="s">
        <v>1215</v>
      </c>
      <c r="E130" s="96" t="s">
        <v>1216</v>
      </c>
      <c r="F130" s="96" t="s">
        <v>1217</v>
      </c>
      <c r="G130" s="99" t="s">
        <v>39</v>
      </c>
      <c r="H130" s="100" t="s">
        <v>78</v>
      </c>
      <c r="I130" s="101">
        <v>1842</v>
      </c>
      <c r="J130" s="102" t="str">
        <f>HYPERLINK("http://www.pilsner-urquell.cz","http://www.pilsner-urquell.cz")</f>
        <v>http://www.pilsner-urquell.cz</v>
      </c>
      <c r="K130" s="107" t="s">
        <v>1335</v>
      </c>
      <c r="L130" s="96" t="s">
        <v>1218</v>
      </c>
      <c r="M130" s="96"/>
      <c r="N130" s="96" t="s">
        <v>1221</v>
      </c>
      <c r="O130" s="96"/>
      <c r="P130" s="96" t="s">
        <v>7610</v>
      </c>
      <c r="Q130" s="96">
        <v>49.7476944</v>
      </c>
      <c r="R130" s="96">
        <v>13.3873561</v>
      </c>
      <c r="S130" s="100" t="s">
        <v>7447</v>
      </c>
      <c r="T130" s="103" t="s">
        <v>217</v>
      </c>
      <c r="U130" s="103" t="s">
        <v>1139</v>
      </c>
      <c r="V130" s="103" t="s">
        <v>1140</v>
      </c>
      <c r="W130" s="103" t="s">
        <v>1140</v>
      </c>
    </row>
    <row r="131" spans="1:23" ht="15.75" customHeight="1">
      <c r="A131" s="96">
        <v>133</v>
      </c>
      <c r="B131" s="97" t="s">
        <v>27</v>
      </c>
      <c r="C131" s="96" t="s">
        <v>1224</v>
      </c>
      <c r="D131" s="96" t="s">
        <v>1225</v>
      </c>
      <c r="E131" s="96" t="s">
        <v>1224</v>
      </c>
      <c r="F131" s="96" t="s">
        <v>1226</v>
      </c>
      <c r="G131" s="99" t="s">
        <v>39</v>
      </c>
      <c r="H131" s="100" t="s">
        <v>78</v>
      </c>
      <c r="I131" s="101">
        <v>1598</v>
      </c>
      <c r="J131" s="102" t="str">
        <f>HYPERLINK("http://www.pivovar-protivin.cz","http://www.pivovar-protivin.cz")</f>
        <v>http://www.pivovar-protivin.cz</v>
      </c>
      <c r="K131" s="107" t="s">
        <v>1341</v>
      </c>
      <c r="L131" s="96" t="s">
        <v>1228</v>
      </c>
      <c r="M131" s="96"/>
      <c r="N131" s="96" t="s">
        <v>1230</v>
      </c>
      <c r="O131" s="96"/>
      <c r="P131" s="96" t="s">
        <v>7611</v>
      </c>
      <c r="Q131" s="96">
        <v>49.204605999999899</v>
      </c>
      <c r="R131" s="96">
        <v>14.217657000000001</v>
      </c>
      <c r="S131" s="100" t="s">
        <v>7447</v>
      </c>
      <c r="T131" s="103" t="s">
        <v>369</v>
      </c>
      <c r="U131" s="103" t="s">
        <v>1346</v>
      </c>
      <c r="V131" s="103" t="s">
        <v>1346</v>
      </c>
      <c r="W131" s="103" t="s">
        <v>1224</v>
      </c>
    </row>
    <row r="132" spans="1:23" ht="15.75" customHeight="1">
      <c r="A132" s="96">
        <v>134</v>
      </c>
      <c r="B132" s="97" t="s">
        <v>27</v>
      </c>
      <c r="C132" s="96" t="s">
        <v>1232</v>
      </c>
      <c r="D132" s="96" t="s">
        <v>1233</v>
      </c>
      <c r="E132" s="96" t="s">
        <v>1234</v>
      </c>
      <c r="F132" s="96" t="s">
        <v>1235</v>
      </c>
      <c r="G132" s="99" t="s">
        <v>39</v>
      </c>
      <c r="H132" s="100" t="s">
        <v>40</v>
      </c>
      <c r="I132" s="101">
        <v>2009</v>
      </c>
      <c r="J132" s="102" t="str">
        <f>HYPERLINK("http://www.poddzbanskypivovar.cz","http://www.poddzbanskypivovar.cz")</f>
        <v>http://www.poddzbanskypivovar.cz</v>
      </c>
      <c r="K132" s="102" t="str">
        <f>HYPERLINK("https://www.facebook.com/poddzbansky.pivovar","https://www.facebook.com/poddzbansky.pivovar")</f>
        <v>https://www.facebook.com/poddzbansky.pivovar</v>
      </c>
      <c r="L132" s="96" t="s">
        <v>1236</v>
      </c>
      <c r="M132" s="96"/>
      <c r="N132" s="96" t="s">
        <v>1238</v>
      </c>
      <c r="O132" s="96"/>
      <c r="P132" s="96" t="s">
        <v>7612</v>
      </c>
      <c r="Q132" s="96">
        <v>50.193771099999999</v>
      </c>
      <c r="R132" s="96">
        <v>13.7080336</v>
      </c>
      <c r="S132" s="100" t="s">
        <v>7447</v>
      </c>
      <c r="T132" s="103" t="s">
        <v>71</v>
      </c>
      <c r="U132" s="103" t="s">
        <v>76</v>
      </c>
      <c r="V132" s="103" t="s">
        <v>76</v>
      </c>
      <c r="W132" s="103" t="s">
        <v>1234</v>
      </c>
    </row>
    <row r="133" spans="1:23" ht="15.75" customHeight="1">
      <c r="A133" s="96">
        <v>135</v>
      </c>
      <c r="B133" s="97" t="s">
        <v>27</v>
      </c>
      <c r="C133" s="96" t="s">
        <v>1242</v>
      </c>
      <c r="D133" s="96" t="s">
        <v>1243</v>
      </c>
      <c r="E133" s="96" t="s">
        <v>260</v>
      </c>
      <c r="F133" s="96" t="s">
        <v>1244</v>
      </c>
      <c r="G133" s="99" t="s">
        <v>39</v>
      </c>
      <c r="H133" s="100" t="s">
        <v>89</v>
      </c>
      <c r="I133" s="101" t="s">
        <v>1353</v>
      </c>
      <c r="J133" s="102" t="str">
        <f>HYPERLINK("http://www.hotel-beskyd.cz","http://www.hotel-beskyd.cz")</f>
        <v>http://www.hotel-beskyd.cz</v>
      </c>
      <c r="K133" s="96"/>
      <c r="L133" s="96" t="s">
        <v>1245</v>
      </c>
      <c r="M133" s="96"/>
      <c r="N133" s="96" t="s">
        <v>1247</v>
      </c>
      <c r="O133" s="96" t="s">
        <v>1249</v>
      </c>
      <c r="P133" s="96" t="s">
        <v>7613</v>
      </c>
      <c r="Q133" s="96">
        <v>49.593642000000003</v>
      </c>
      <c r="R133" s="96">
        <v>18.359486</v>
      </c>
      <c r="S133" s="100" t="s">
        <v>52</v>
      </c>
      <c r="T133" s="103" t="s">
        <v>121</v>
      </c>
      <c r="U133" s="103" t="s">
        <v>259</v>
      </c>
      <c r="V133" s="103" t="s">
        <v>260</v>
      </c>
      <c r="W133" s="103" t="s">
        <v>260</v>
      </c>
    </row>
    <row r="134" spans="1:23" ht="15.75" customHeight="1">
      <c r="A134" s="96">
        <v>136</v>
      </c>
      <c r="B134" s="97" t="s">
        <v>27</v>
      </c>
      <c r="C134" s="96" t="s">
        <v>1252</v>
      </c>
      <c r="D134" s="96" t="s">
        <v>1253</v>
      </c>
      <c r="E134" s="96" t="s">
        <v>1254</v>
      </c>
      <c r="F134" s="96" t="s">
        <v>1255</v>
      </c>
      <c r="G134" s="99" t="s">
        <v>39</v>
      </c>
      <c r="H134" s="100" t="s">
        <v>89</v>
      </c>
      <c r="I134" s="101" t="s">
        <v>1363</v>
      </c>
      <c r="J134" s="96"/>
      <c r="K134" s="96" t="s">
        <v>1256</v>
      </c>
      <c r="L134" s="96" t="s">
        <v>1257</v>
      </c>
      <c r="M134" s="96" t="s">
        <v>1259</v>
      </c>
      <c r="N134" s="96" t="s">
        <v>1260</v>
      </c>
      <c r="O134" s="102" t="s">
        <v>1261</v>
      </c>
      <c r="P134" s="96" t="s">
        <v>7614</v>
      </c>
      <c r="Q134" s="101">
        <v>49.138516000000003</v>
      </c>
      <c r="R134" s="101">
        <v>15.0086879999999</v>
      </c>
      <c r="S134" s="100" t="s">
        <v>7447</v>
      </c>
      <c r="T134" s="103" t="s">
        <v>369</v>
      </c>
      <c r="U134" s="103" t="s">
        <v>1254</v>
      </c>
      <c r="V134" s="103" t="s">
        <v>1254</v>
      </c>
      <c r="W134" s="103" t="s">
        <v>1254</v>
      </c>
    </row>
    <row r="135" spans="1:23" ht="15.75" customHeight="1">
      <c r="A135" s="96">
        <v>137</v>
      </c>
      <c r="B135" s="97" t="s">
        <v>27</v>
      </c>
      <c r="C135" s="96" t="s">
        <v>1263</v>
      </c>
      <c r="D135" s="96" t="s">
        <v>1264</v>
      </c>
      <c r="E135" s="96" t="s">
        <v>1265</v>
      </c>
      <c r="F135" s="96" t="s">
        <v>1266</v>
      </c>
      <c r="G135" s="99" t="s">
        <v>39</v>
      </c>
      <c r="H135" s="100" t="s">
        <v>78</v>
      </c>
      <c r="I135" s="101">
        <v>2011</v>
      </c>
      <c r="J135" s="102" t="str">
        <f>HYPERLINK("http://www.podkovan.cz","http://www.podkovan.cz")</f>
        <v>http://www.podkovan.cz</v>
      </c>
      <c r="K135" s="102" t="str">
        <f>HYPERLINK("https://www.facebook.com/podkovanskepivo","https://www.facebook.com/podkovanskepivo")</f>
        <v>https://www.facebook.com/podkovanskepivo</v>
      </c>
      <c r="L135" s="96" t="s">
        <v>1268</v>
      </c>
      <c r="M135" s="96"/>
      <c r="N135" s="96" t="s">
        <v>1263</v>
      </c>
      <c r="O135" s="96"/>
      <c r="P135" s="96" t="s">
        <v>7615</v>
      </c>
      <c r="Q135" s="96">
        <v>50.418996999999898</v>
      </c>
      <c r="R135" s="96">
        <v>14.782864</v>
      </c>
      <c r="S135" s="100" t="s">
        <v>7447</v>
      </c>
      <c r="T135" s="103" t="s">
        <v>71</v>
      </c>
      <c r="U135" s="103" t="s">
        <v>810</v>
      </c>
      <c r="V135" s="103" t="s">
        <v>810</v>
      </c>
      <c r="W135" s="103" t="s">
        <v>1265</v>
      </c>
    </row>
    <row r="136" spans="1:23" ht="15.75" customHeight="1">
      <c r="A136" s="96">
        <v>138</v>
      </c>
      <c r="B136" s="97" t="s">
        <v>27</v>
      </c>
      <c r="C136" s="96" t="s">
        <v>1271</v>
      </c>
      <c r="D136" s="96" t="s">
        <v>1272</v>
      </c>
      <c r="E136" s="96" t="s">
        <v>1271</v>
      </c>
      <c r="F136" s="96" t="s">
        <v>1273</v>
      </c>
      <c r="G136" s="99" t="s">
        <v>39</v>
      </c>
      <c r="H136" s="100" t="s">
        <v>78</v>
      </c>
      <c r="I136" s="101">
        <v>1517</v>
      </c>
      <c r="J136" s="102" t="str">
        <f>HYPERLINK("http://www.pivovar-policka.cz","http://www.pivovar-policka.cz")</f>
        <v>http://www.pivovar-policka.cz</v>
      </c>
      <c r="K136" s="102" t="str">
        <f>HYPERLINK("https://www.facebook.com/policskepivo","https://www.facebook.com/policskepivo")</f>
        <v>https://www.facebook.com/policskepivo</v>
      </c>
      <c r="L136" s="96" t="s">
        <v>1274</v>
      </c>
      <c r="M136" s="96"/>
      <c r="N136" s="96" t="s">
        <v>1276</v>
      </c>
      <c r="O136" s="96"/>
      <c r="P136" s="96" t="s">
        <v>7616</v>
      </c>
      <c r="Q136" s="96">
        <v>49.710827000000002</v>
      </c>
      <c r="R136" s="96">
        <v>16.259985</v>
      </c>
      <c r="S136" s="100" t="s">
        <v>7447</v>
      </c>
      <c r="T136" s="103" t="s">
        <v>483</v>
      </c>
      <c r="U136" s="103" t="s">
        <v>1067</v>
      </c>
      <c r="V136" s="103" t="s">
        <v>1271</v>
      </c>
      <c r="W136" s="103" t="s">
        <v>1271</v>
      </c>
    </row>
    <row r="137" spans="1:23" ht="15.75" customHeight="1">
      <c r="A137" s="96">
        <v>139</v>
      </c>
      <c r="B137" s="97" t="s">
        <v>27</v>
      </c>
      <c r="C137" s="96" t="s">
        <v>882</v>
      </c>
      <c r="D137" s="96" t="s">
        <v>1278</v>
      </c>
      <c r="E137" s="96" t="s">
        <v>882</v>
      </c>
      <c r="F137" s="96" t="s">
        <v>1279</v>
      </c>
      <c r="G137" s="99" t="s">
        <v>39</v>
      </c>
      <c r="H137" s="100" t="s">
        <v>78</v>
      </c>
      <c r="I137" s="101">
        <v>1895</v>
      </c>
      <c r="J137" s="102" t="str">
        <f>HYPERLINK("http://www.postriziny.cz","http://www.postriziny.cz")</f>
        <v>http://www.postriziny.cz</v>
      </c>
      <c r="K137" s="102" t="str">
        <f>HYPERLINK("https://www.facebook.com/Pivovar-Nymburk-Postřižinské-pivo-260751793964157","https://www.facebook.com/Pivovar-Nymburk-Postřižinské-pivo-260751793964157")</f>
        <v>https://www.facebook.com/Pivovar-Nymburk-Postřižinské-pivo-260751793964157</v>
      </c>
      <c r="L137" s="96" t="s">
        <v>1280</v>
      </c>
      <c r="M137" s="96" t="s">
        <v>1282</v>
      </c>
      <c r="N137" s="96" t="s">
        <v>1283</v>
      </c>
      <c r="O137" s="102" t="s">
        <v>1284</v>
      </c>
      <c r="P137" s="96" t="s">
        <v>7617</v>
      </c>
      <c r="Q137" s="96">
        <v>50.178804399999997</v>
      </c>
      <c r="R137" s="96">
        <v>15.038197500000001</v>
      </c>
      <c r="S137" s="100" t="s">
        <v>7447</v>
      </c>
      <c r="T137" s="103" t="s">
        <v>71</v>
      </c>
      <c r="U137" s="103" t="s">
        <v>882</v>
      </c>
      <c r="V137" s="103" t="s">
        <v>882</v>
      </c>
      <c r="W137" s="103" t="s">
        <v>882</v>
      </c>
    </row>
    <row r="138" spans="1:23" ht="15.75" customHeight="1">
      <c r="A138" s="96">
        <v>140</v>
      </c>
      <c r="B138" s="97" t="s">
        <v>27</v>
      </c>
      <c r="C138" s="96" t="s">
        <v>1286</v>
      </c>
      <c r="D138" s="96" t="s">
        <v>1287</v>
      </c>
      <c r="E138" s="96" t="s">
        <v>227</v>
      </c>
      <c r="F138" s="96" t="s">
        <v>1288</v>
      </c>
      <c r="G138" s="99" t="s">
        <v>39</v>
      </c>
      <c r="H138" s="100" t="s">
        <v>78</v>
      </c>
      <c r="I138" s="101">
        <v>1552</v>
      </c>
      <c r="J138" s="102" t="str">
        <f>HYPERLINK("http://www.pivovarpoutnik.cz","http://www.pivovarpoutnik.cz")</f>
        <v>http://www.pivovarpoutnik.cz</v>
      </c>
      <c r="K138" s="102" t="str">
        <f>HYPERLINK("https://www.facebook.com/pivovarpoutnik","https://www.facebook.com/pivovarpoutnik")</f>
        <v>https://www.facebook.com/pivovarpoutnik</v>
      </c>
      <c r="L138" s="96" t="s">
        <v>1289</v>
      </c>
      <c r="M138" s="96"/>
      <c r="N138" s="96" t="s">
        <v>1286</v>
      </c>
      <c r="O138" s="96"/>
      <c r="P138" s="96" t="s">
        <v>7618</v>
      </c>
      <c r="Q138" s="96">
        <v>49.430629000000003</v>
      </c>
      <c r="R138" s="96">
        <v>15.220492</v>
      </c>
      <c r="S138" s="100" t="s">
        <v>7447</v>
      </c>
      <c r="T138" s="103" t="s">
        <v>144</v>
      </c>
      <c r="U138" s="103" t="s">
        <v>227</v>
      </c>
      <c r="V138" s="103" t="s">
        <v>227</v>
      </c>
      <c r="W138" s="103" t="s">
        <v>227</v>
      </c>
    </row>
    <row r="139" spans="1:23" ht="15.75" customHeight="1">
      <c r="A139" s="96">
        <v>141</v>
      </c>
      <c r="B139" s="97" t="s">
        <v>27</v>
      </c>
      <c r="C139" s="96" t="s">
        <v>1292</v>
      </c>
      <c r="D139" s="96" t="s">
        <v>1293</v>
      </c>
      <c r="E139" s="96" t="s">
        <v>711</v>
      </c>
      <c r="F139" s="96" t="s">
        <v>1294</v>
      </c>
      <c r="G139" s="99" t="s">
        <v>39</v>
      </c>
      <c r="H139" s="100" t="s">
        <v>89</v>
      </c>
      <c r="I139" s="101" t="s">
        <v>1395</v>
      </c>
      <c r="J139" s="102" t="str">
        <f>HYPERLINK("http://www.pivovarborsov.cz","http://www.pivovarborsov.cz")</f>
        <v>http://www.pivovarborsov.cz</v>
      </c>
      <c r="K139" s="102" t="str">
        <f>HYPERLINK("https://www.facebook.com/Pivovar-Boršov-1361358393940463","https://www.facebook.com/Pivovar-Boršov-1361358393940463")</f>
        <v>https://www.facebook.com/Pivovar-Boršov-1361358393940463</v>
      </c>
      <c r="L139" s="96" t="s">
        <v>1295</v>
      </c>
      <c r="M139" s="96" t="s">
        <v>1297</v>
      </c>
      <c r="N139" s="96" t="s">
        <v>1298</v>
      </c>
      <c r="O139" s="96"/>
      <c r="P139" s="96" t="s">
        <v>7619</v>
      </c>
      <c r="Q139" s="96">
        <v>50.083641</v>
      </c>
      <c r="R139" s="96">
        <v>14.414676</v>
      </c>
      <c r="S139" s="100" t="s">
        <v>52</v>
      </c>
      <c r="T139" s="103" t="s">
        <v>58</v>
      </c>
      <c r="U139" s="103" t="s">
        <v>58</v>
      </c>
      <c r="V139" s="103" t="s">
        <v>58</v>
      </c>
      <c r="W139" s="103" t="s">
        <v>59</v>
      </c>
    </row>
    <row r="140" spans="1:23" ht="15.75" customHeight="1">
      <c r="A140" s="96">
        <v>142</v>
      </c>
      <c r="B140" s="97" t="s">
        <v>27</v>
      </c>
      <c r="C140" s="96" t="s">
        <v>1251</v>
      </c>
      <c r="D140" s="96" t="s">
        <v>1300</v>
      </c>
      <c r="E140" s="96" t="s">
        <v>1251</v>
      </c>
      <c r="F140" s="96" t="s">
        <v>1301</v>
      </c>
      <c r="G140" s="99" t="s">
        <v>39</v>
      </c>
      <c r="H140" s="100" t="s">
        <v>78</v>
      </c>
      <c r="I140" s="101">
        <v>1872</v>
      </c>
      <c r="J140" s="102" t="str">
        <f>HYPERLINK("http://www.primator.cz","http://www.primator.cz")</f>
        <v>http://www.primator.cz</v>
      </c>
      <c r="K140" s="102" t="str">
        <f>HYPERLINK("https://www.facebook.com/primator.cz","https://www.facebook.com/primator.cz")</f>
        <v>https://www.facebook.com/primator.cz</v>
      </c>
      <c r="L140" s="96" t="s">
        <v>1302</v>
      </c>
      <c r="M140" s="96"/>
      <c r="N140" s="96" t="s">
        <v>1305</v>
      </c>
      <c r="O140" s="96"/>
      <c r="P140" s="96" t="s">
        <v>7620</v>
      </c>
      <c r="Q140" s="96">
        <v>50.414935999999898</v>
      </c>
      <c r="R140" s="96">
        <v>16.171274</v>
      </c>
      <c r="S140" s="100" t="s">
        <v>7447</v>
      </c>
      <c r="T140" s="103" t="s">
        <v>207</v>
      </c>
      <c r="U140" s="103" t="s">
        <v>1251</v>
      </c>
      <c r="V140" s="103" t="s">
        <v>1251</v>
      </c>
      <c r="W140" s="103" t="s">
        <v>1251</v>
      </c>
    </row>
    <row r="141" spans="1:23" ht="15.75" customHeight="1">
      <c r="A141" s="96">
        <v>143</v>
      </c>
      <c r="B141" s="97" t="s">
        <v>27</v>
      </c>
      <c r="C141" s="96" t="s">
        <v>1307</v>
      </c>
      <c r="D141" s="96" t="s">
        <v>1308</v>
      </c>
      <c r="E141" s="96" t="s">
        <v>1307</v>
      </c>
      <c r="F141" s="96" t="s">
        <v>1309</v>
      </c>
      <c r="G141" s="99" t="s">
        <v>39</v>
      </c>
      <c r="H141" s="100" t="s">
        <v>40</v>
      </c>
      <c r="I141" s="101">
        <v>2005</v>
      </c>
      <c r="J141" s="102" t="str">
        <f>HYPERLINK("http://www.chyse.com","http://www.chyse.com")</f>
        <v>http://www.chyse.com</v>
      </c>
      <c r="K141" s="102" t="str">
        <f>HYPERLINK("https://www.facebook.com/zamek.pivovar.chyse","https://www.facebook.com/zamek.pivovar.chyse")</f>
        <v>https://www.facebook.com/zamek.pivovar.chyse</v>
      </c>
      <c r="L141" s="96" t="s">
        <v>1310</v>
      </c>
      <c r="M141" s="96"/>
      <c r="N141" s="96" t="s">
        <v>1311</v>
      </c>
      <c r="O141" s="96"/>
      <c r="P141" s="96" t="s">
        <v>7621</v>
      </c>
      <c r="Q141" s="96">
        <v>50.105620000000002</v>
      </c>
      <c r="R141" s="96">
        <v>13.247598</v>
      </c>
      <c r="S141" s="100" t="s">
        <v>7447</v>
      </c>
      <c r="T141" s="103" t="s">
        <v>573</v>
      </c>
      <c r="U141" s="103" t="s">
        <v>574</v>
      </c>
      <c r="V141" s="103" t="s">
        <v>574</v>
      </c>
      <c r="W141" s="103" t="s">
        <v>1307</v>
      </c>
    </row>
    <row r="142" spans="1:23" ht="15.75" customHeight="1">
      <c r="A142" s="96">
        <v>144</v>
      </c>
      <c r="B142" s="97" t="s">
        <v>27</v>
      </c>
      <c r="C142" s="96" t="s">
        <v>1313</v>
      </c>
      <c r="D142" s="96" t="s">
        <v>1314</v>
      </c>
      <c r="E142" s="96" t="s">
        <v>1315</v>
      </c>
      <c r="F142" s="96" t="s">
        <v>1316</v>
      </c>
      <c r="G142" s="99" t="s">
        <v>39</v>
      </c>
      <c r="H142" s="100" t="s">
        <v>89</v>
      </c>
      <c r="I142" s="101" t="s">
        <v>1409</v>
      </c>
      <c r="J142" s="102" t="str">
        <f>HYPERLINK("http://www.pivovarpropper.cz","http://www.pivovarpropper.cz")</f>
        <v>http://www.pivovarpropper.cz</v>
      </c>
      <c r="K142" s="102" t="str">
        <f>HYPERLINK("https://www.facebook.com/pivovarpropper","https://www.facebook.com/pivovarpropper")</f>
        <v>https://www.facebook.com/pivovarpropper</v>
      </c>
      <c r="L142" s="96" t="s">
        <v>1318</v>
      </c>
      <c r="M142" s="96"/>
      <c r="N142" s="96" t="s">
        <v>1320</v>
      </c>
      <c r="O142" s="107" t="s">
        <v>1414</v>
      </c>
      <c r="P142" s="96" t="s">
        <v>7622</v>
      </c>
      <c r="Q142" s="96">
        <v>50.176298000000003</v>
      </c>
      <c r="R142" s="96">
        <v>15.741578000000001</v>
      </c>
      <c r="S142" s="100" t="s">
        <v>52</v>
      </c>
      <c r="T142" s="103" t="s">
        <v>207</v>
      </c>
      <c r="U142" s="103" t="s">
        <v>208</v>
      </c>
      <c r="V142" s="103" t="s">
        <v>208</v>
      </c>
      <c r="W142" s="103" t="s">
        <v>1315</v>
      </c>
    </row>
    <row r="143" spans="1:23" ht="15.75" customHeight="1">
      <c r="A143" s="96">
        <v>145</v>
      </c>
      <c r="B143" s="97" t="s">
        <v>27</v>
      </c>
      <c r="C143" s="96" t="s">
        <v>1322</v>
      </c>
      <c r="D143" s="96" t="s">
        <v>1323</v>
      </c>
      <c r="E143" s="96" t="s">
        <v>1324</v>
      </c>
      <c r="F143" s="96" t="s">
        <v>1325</v>
      </c>
      <c r="G143" s="99" t="s">
        <v>39</v>
      </c>
      <c r="H143" s="100" t="s">
        <v>40</v>
      </c>
      <c r="I143" s="101">
        <v>2007</v>
      </c>
      <c r="J143" s="102" t="str">
        <f>HYPERLINK("http://www.purkmistr.cz","http://www.purkmistr.cz")</f>
        <v>http://www.purkmistr.cz</v>
      </c>
      <c r="K143" s="102" t="str">
        <f>HYPERLINK("https://www.facebook.com/pivovarskydvurplzen","https://www.facebook.com/pivovarskydvurplzen")</f>
        <v>https://www.facebook.com/pivovarskydvurplzen</v>
      </c>
      <c r="L143" s="96" t="s">
        <v>1328</v>
      </c>
      <c r="M143" s="96"/>
      <c r="N143" s="96" t="s">
        <v>1330</v>
      </c>
      <c r="O143" s="96"/>
      <c r="P143" s="96" t="s">
        <v>7623</v>
      </c>
      <c r="Q143" s="96">
        <v>49.698838600000002</v>
      </c>
      <c r="R143" s="96">
        <v>13.4140406</v>
      </c>
      <c r="S143" s="100" t="s">
        <v>52</v>
      </c>
      <c r="T143" s="103" t="s">
        <v>217</v>
      </c>
      <c r="U143" s="103" t="s">
        <v>1139</v>
      </c>
      <c r="V143" s="103" t="s">
        <v>1140</v>
      </c>
      <c r="W143" s="103" t="s">
        <v>1140</v>
      </c>
    </row>
    <row r="144" spans="1:23" ht="15.75" customHeight="1">
      <c r="A144" s="96">
        <v>146</v>
      </c>
      <c r="B144" s="97" t="s">
        <v>27</v>
      </c>
      <c r="C144" s="96" t="s">
        <v>1332</v>
      </c>
      <c r="D144" s="96" t="s">
        <v>1333</v>
      </c>
      <c r="E144" s="96" t="s">
        <v>1136</v>
      </c>
      <c r="F144" s="96" t="s">
        <v>1334</v>
      </c>
      <c r="G144" s="99" t="s">
        <v>39</v>
      </c>
      <c r="H144" s="100" t="s">
        <v>40</v>
      </c>
      <c r="I144" s="101">
        <v>2007</v>
      </c>
      <c r="J144" s="102" t="str">
        <f>HYPERLINK("http://www.hobitclub.net","http://www.hobitclub.net")</f>
        <v>http://www.hobitclub.net</v>
      </c>
      <c r="K144" s="102" t="str">
        <f>HYPERLINK("https://www.facebook.com/Pivovarský-dům-353286041431824","https://www.facebook.com/Pivovarský-dům-353286041431824")</f>
        <v>https://www.facebook.com/Pivovarský-dům-353286041431824</v>
      </c>
      <c r="L144" s="96" t="s">
        <v>1336</v>
      </c>
      <c r="M144" s="96" t="s">
        <v>1337</v>
      </c>
      <c r="N144" s="96" t="s">
        <v>1338</v>
      </c>
      <c r="O144" s="96"/>
      <c r="P144" s="96" t="s">
        <v>7624</v>
      </c>
      <c r="Q144" s="96">
        <v>49.840019400000003</v>
      </c>
      <c r="R144" s="96">
        <v>18.2885217</v>
      </c>
      <c r="S144" s="100" t="s">
        <v>52</v>
      </c>
      <c r="T144" s="103" t="s">
        <v>121</v>
      </c>
      <c r="U144" s="103" t="s">
        <v>122</v>
      </c>
      <c r="V144" s="103" t="s">
        <v>123</v>
      </c>
      <c r="W144" s="103" t="s">
        <v>123</v>
      </c>
    </row>
    <row r="145" spans="1:23" ht="15.75" customHeight="1">
      <c r="A145" s="96">
        <v>147</v>
      </c>
      <c r="B145" s="97" t="s">
        <v>27</v>
      </c>
      <c r="C145" s="96" t="s">
        <v>1342</v>
      </c>
      <c r="D145" s="96" t="s">
        <v>1343</v>
      </c>
      <c r="E145" s="96" t="s">
        <v>1344</v>
      </c>
      <c r="F145" s="96" t="s">
        <v>1345</v>
      </c>
      <c r="G145" s="99" t="s">
        <v>39</v>
      </c>
      <c r="H145" s="100" t="s">
        <v>78</v>
      </c>
      <c r="I145" s="101">
        <v>1970</v>
      </c>
      <c r="J145" s="102" t="str">
        <f>HYPERLINK("http://www.radegast.cz","http://www.radegast.cz")</f>
        <v>http://www.radegast.cz</v>
      </c>
      <c r="K145" s="102" t="str">
        <f>HYPERLINK("https://www.facebook.com/radegastCZ","https://www.facebook.com/radegastCZ")</f>
        <v>https://www.facebook.com/radegastCZ</v>
      </c>
      <c r="L145" s="96" t="s">
        <v>1347</v>
      </c>
      <c r="M145" s="96"/>
      <c r="N145" s="96" t="s">
        <v>1348</v>
      </c>
      <c r="O145" s="96"/>
      <c r="P145" s="96" t="s">
        <v>7625</v>
      </c>
      <c r="Q145" s="96">
        <v>49.661669000000003</v>
      </c>
      <c r="R145" s="96">
        <v>18.428052999999899</v>
      </c>
      <c r="S145" s="100" t="s">
        <v>52</v>
      </c>
      <c r="T145" s="103" t="s">
        <v>121</v>
      </c>
      <c r="U145" s="103" t="s">
        <v>259</v>
      </c>
      <c r="V145" s="103" t="s">
        <v>259</v>
      </c>
      <c r="W145" s="103" t="s">
        <v>1344</v>
      </c>
    </row>
    <row r="146" spans="1:23" ht="15.75" customHeight="1">
      <c r="A146" s="96">
        <v>148</v>
      </c>
      <c r="B146" s="97" t="s">
        <v>27</v>
      </c>
      <c r="C146" s="96" t="s">
        <v>1350</v>
      </c>
      <c r="D146" s="96" t="s">
        <v>1351</v>
      </c>
      <c r="E146" s="96" t="s">
        <v>636</v>
      </c>
      <c r="F146" s="96" t="s">
        <v>1352</v>
      </c>
      <c r="G146" s="99" t="s">
        <v>39</v>
      </c>
      <c r="H146" s="100" t="s">
        <v>40</v>
      </c>
      <c r="I146" s="101">
        <v>2011</v>
      </c>
      <c r="J146" s="102" t="str">
        <f>HYPERLINK("http://www.radnicni-jihlava.cz","http://www.radnicni-jihlava.cz")</f>
        <v>http://www.radnicni-jihlava.cz</v>
      </c>
      <c r="K146" s="102" t="str">
        <f>HYPERLINK("https://www.facebook.com/radnicnirestauraceapivovar","https://www.facebook.com/radnicnirestauraceapivovar")</f>
        <v>https://www.facebook.com/radnicnirestauraceapivovar</v>
      </c>
      <c r="L146" s="96" t="s">
        <v>1354</v>
      </c>
      <c r="M146" s="96" t="s">
        <v>1356</v>
      </c>
      <c r="N146" s="96" t="s">
        <v>1357</v>
      </c>
      <c r="O146" s="96"/>
      <c r="P146" s="96" t="s">
        <v>7626</v>
      </c>
      <c r="Q146" s="96">
        <v>49.396349999999998</v>
      </c>
      <c r="R146" s="96">
        <v>15.5909411</v>
      </c>
      <c r="S146" s="100" t="s">
        <v>52</v>
      </c>
      <c r="T146" s="103" t="s">
        <v>144</v>
      </c>
      <c r="U146" s="103" t="s">
        <v>636</v>
      </c>
      <c r="V146" s="103" t="s">
        <v>636</v>
      </c>
      <c r="W146" s="103" t="s">
        <v>636</v>
      </c>
    </row>
    <row r="147" spans="1:23" ht="15.75" customHeight="1">
      <c r="A147" s="96">
        <v>149</v>
      </c>
      <c r="B147" s="97" t="s">
        <v>27</v>
      </c>
      <c r="C147" s="96" t="s">
        <v>1360</v>
      </c>
      <c r="D147" s="96" t="s">
        <v>1361</v>
      </c>
      <c r="E147" s="96" t="s">
        <v>1360</v>
      </c>
      <c r="F147" s="96" t="s">
        <v>1362</v>
      </c>
      <c r="G147" s="99" t="s">
        <v>39</v>
      </c>
      <c r="H147" s="100" t="s">
        <v>69</v>
      </c>
      <c r="I147" s="101">
        <v>2012</v>
      </c>
      <c r="J147" s="102" t="str">
        <f>HYPERLINK("https://www.pivovar-radnice.cz","https://www.pivovar-radnice.cz")</f>
        <v>https://www.pivovar-radnice.cz</v>
      </c>
      <c r="K147" s="102" t="str">
        <f>HYPERLINK("https://www.facebook.com/minipivovarRadnice","https://www.facebook.com/minipivovarRadnice")</f>
        <v>https://www.facebook.com/minipivovarRadnice</v>
      </c>
      <c r="L147" s="96" t="s">
        <v>1364</v>
      </c>
      <c r="M147" s="96"/>
      <c r="N147" s="96" t="s">
        <v>1365</v>
      </c>
      <c r="O147" s="102" t="s">
        <v>1367</v>
      </c>
      <c r="P147" s="96" t="s">
        <v>7627</v>
      </c>
      <c r="Q147" s="96">
        <v>49.8567769</v>
      </c>
      <c r="R147" s="96">
        <v>13.613334699999999</v>
      </c>
      <c r="S147" s="100" t="s">
        <v>52</v>
      </c>
      <c r="T147" s="103" t="s">
        <v>217</v>
      </c>
      <c r="U147" s="103" t="s">
        <v>1453</v>
      </c>
      <c r="V147" s="103" t="s">
        <v>1453</v>
      </c>
      <c r="W147" s="103" t="s">
        <v>1360</v>
      </c>
    </row>
    <row r="148" spans="1:23" ht="15.75" customHeight="1">
      <c r="A148" s="96">
        <v>150</v>
      </c>
      <c r="B148" s="97" t="s">
        <v>27</v>
      </c>
      <c r="C148" s="96" t="s">
        <v>1369</v>
      </c>
      <c r="D148" s="96" t="s">
        <v>1370</v>
      </c>
      <c r="E148" s="96" t="s">
        <v>1371</v>
      </c>
      <c r="F148" s="96" t="s">
        <v>1372</v>
      </c>
      <c r="G148" s="99" t="s">
        <v>39</v>
      </c>
      <c r="H148" s="100" t="s">
        <v>60</v>
      </c>
      <c r="I148" s="101">
        <v>2008</v>
      </c>
      <c r="J148" s="102" t="str">
        <f>HYPERLINK("http://pivovar.stahlavy.com","http://pivovar.stahlavy.com")</f>
        <v>http://pivovar.stahlavy.com</v>
      </c>
      <c r="K148" s="102" t="str">
        <f>HYPERLINK("https://www.facebook.com/PivovarRadous","https://www.facebook.com/PivovarRadous")</f>
        <v>https://www.facebook.com/PivovarRadous</v>
      </c>
      <c r="L148" s="96" t="s">
        <v>1373</v>
      </c>
      <c r="M148" s="96"/>
      <c r="N148" s="96" t="s">
        <v>1374</v>
      </c>
      <c r="O148" s="102" t="s">
        <v>1375</v>
      </c>
      <c r="P148" s="96" t="s">
        <v>7628</v>
      </c>
      <c r="Q148" s="96">
        <v>49.675595000000001</v>
      </c>
      <c r="R148" s="96">
        <v>13.503830000000001</v>
      </c>
      <c r="S148" s="100" t="s">
        <v>7447</v>
      </c>
      <c r="T148" s="103" t="s">
        <v>217</v>
      </c>
      <c r="U148" s="103" t="s">
        <v>1139</v>
      </c>
      <c r="V148" s="103" t="s">
        <v>1140</v>
      </c>
      <c r="W148" s="103" t="s">
        <v>1371</v>
      </c>
    </row>
    <row r="149" spans="1:23" ht="15.75" customHeight="1">
      <c r="A149" s="96">
        <v>151</v>
      </c>
      <c r="B149" s="97" t="s">
        <v>27</v>
      </c>
      <c r="C149" s="96" t="s">
        <v>1377</v>
      </c>
      <c r="D149" s="96" t="s">
        <v>1378</v>
      </c>
      <c r="E149" s="96" t="s">
        <v>1377</v>
      </c>
      <c r="F149" s="96" t="s">
        <v>1379</v>
      </c>
      <c r="G149" s="99" t="s">
        <v>39</v>
      </c>
      <c r="H149" s="100" t="s">
        <v>69</v>
      </c>
      <c r="I149" s="101">
        <v>2008</v>
      </c>
      <c r="J149" s="107" t="s">
        <v>1468</v>
      </c>
      <c r="K149" s="102" t="str">
        <f>HYPERLINK("https://www.facebook.com/pivovardobruska","https://www.facebook.com/pivovardobruska")</f>
        <v>https://www.facebook.com/pivovardobruska</v>
      </c>
      <c r="L149" s="96" t="s">
        <v>1380</v>
      </c>
      <c r="M149" s="96"/>
      <c r="N149" s="96" t="s">
        <v>1382</v>
      </c>
      <c r="O149" s="96" t="s">
        <v>1384</v>
      </c>
      <c r="P149" s="96" t="s">
        <v>7629</v>
      </c>
      <c r="Q149" s="96">
        <v>50.294753999999898</v>
      </c>
      <c r="R149" s="96">
        <v>16.162222</v>
      </c>
      <c r="S149" s="100" t="s">
        <v>7447</v>
      </c>
      <c r="T149" s="103" t="s">
        <v>207</v>
      </c>
      <c r="U149" s="103" t="s">
        <v>1450</v>
      </c>
      <c r="V149" s="103" t="s">
        <v>1377</v>
      </c>
      <c r="W149" s="103" t="s">
        <v>1377</v>
      </c>
    </row>
    <row r="150" spans="1:23" ht="15.75" customHeight="1">
      <c r="A150" s="96">
        <v>152</v>
      </c>
      <c r="B150" s="97" t="s">
        <v>27</v>
      </c>
      <c r="C150" s="96" t="s">
        <v>1386</v>
      </c>
      <c r="D150" s="96" t="s">
        <v>1387</v>
      </c>
      <c r="E150" s="96" t="s">
        <v>1386</v>
      </c>
      <c r="F150" s="96" t="s">
        <v>1388</v>
      </c>
      <c r="G150" s="99" t="s">
        <v>39</v>
      </c>
      <c r="H150" s="100" t="s">
        <v>40</v>
      </c>
      <c r="I150" s="101">
        <v>2010</v>
      </c>
      <c r="J150" s="102" t="str">
        <f>HYPERLINK("http://www.namlyne.com","http://www.namlyne.com")</f>
        <v>http://www.namlyne.com</v>
      </c>
      <c r="K150" s="102" t="str">
        <f>HYPERLINK("https://www.facebook.com/Ratíškovické-pivo-488598851198801","https://www.facebook.com/Ratíškovické-pivo-488598851198801")</f>
        <v>https://www.facebook.com/Ratíškovické-pivo-488598851198801</v>
      </c>
      <c r="L150" s="96" t="s">
        <v>1389</v>
      </c>
      <c r="M150" s="96"/>
      <c r="N150" s="96" t="s">
        <v>1391</v>
      </c>
      <c r="O150" s="102" t="s">
        <v>1393</v>
      </c>
      <c r="P150" s="96" t="s">
        <v>7630</v>
      </c>
      <c r="Q150" s="96">
        <v>48.917852000000003</v>
      </c>
      <c r="R150" s="96">
        <v>17.160519000000001</v>
      </c>
      <c r="S150" s="100" t="s">
        <v>52</v>
      </c>
      <c r="T150" s="103" t="s">
        <v>325</v>
      </c>
      <c r="U150" s="103" t="s">
        <v>819</v>
      </c>
      <c r="V150" s="103" t="s">
        <v>819</v>
      </c>
      <c r="W150" s="103" t="s">
        <v>1386</v>
      </c>
    </row>
    <row r="151" spans="1:23" ht="15.75" customHeight="1">
      <c r="A151" s="96">
        <v>153</v>
      </c>
      <c r="B151" s="97" t="s">
        <v>27</v>
      </c>
      <c r="C151" s="96" t="s">
        <v>135</v>
      </c>
      <c r="D151" s="96" t="s">
        <v>1396</v>
      </c>
      <c r="E151" s="96" t="s">
        <v>135</v>
      </c>
      <c r="F151" s="96" t="s">
        <v>137</v>
      </c>
      <c r="G151" s="99" t="s">
        <v>39</v>
      </c>
      <c r="H151" s="100" t="s">
        <v>78</v>
      </c>
      <c r="I151" s="101">
        <v>1834</v>
      </c>
      <c r="J151" s="102" t="str">
        <f>HYPERLINK("http://www.hbrebel.cz","http://www.hbrebel.cz")</f>
        <v>http://www.hbrebel.cz</v>
      </c>
      <c r="K151" s="102" t="str">
        <f>HYPERLINK("https://www.facebook.com/REBELpivo","https://www.facebook.com/REBELpivo")</f>
        <v>https://www.facebook.com/REBELpivo</v>
      </c>
      <c r="L151" s="96" t="s">
        <v>142</v>
      </c>
      <c r="M151" s="96"/>
      <c r="N151" s="96" t="s">
        <v>1398</v>
      </c>
      <c r="O151" s="96"/>
      <c r="P151" s="96" t="s">
        <v>7631</v>
      </c>
      <c r="Q151" s="96">
        <v>49.610149</v>
      </c>
      <c r="R151" s="96">
        <v>15.576672</v>
      </c>
      <c r="S151" s="100" t="s">
        <v>7447</v>
      </c>
      <c r="T151" s="103" t="s">
        <v>144</v>
      </c>
      <c r="U151" s="103" t="s">
        <v>135</v>
      </c>
      <c r="V151" s="103" t="s">
        <v>135</v>
      </c>
      <c r="W151" s="103" t="s">
        <v>135</v>
      </c>
    </row>
    <row r="152" spans="1:23" ht="15.75" customHeight="1">
      <c r="A152" s="96">
        <v>154</v>
      </c>
      <c r="B152" s="97" t="s">
        <v>27</v>
      </c>
      <c r="C152" s="96" t="s">
        <v>1401</v>
      </c>
      <c r="D152" s="96" t="s">
        <v>1402</v>
      </c>
      <c r="E152" s="96" t="s">
        <v>1403</v>
      </c>
      <c r="F152" s="96" t="s">
        <v>1404</v>
      </c>
      <c r="G152" s="99" t="s">
        <v>39</v>
      </c>
      <c r="H152" s="100" t="s">
        <v>78</v>
      </c>
      <c r="I152" s="101">
        <v>1379</v>
      </c>
      <c r="J152" s="102" t="str">
        <f>HYPERLINK("http://www.pivovar-regent.cz","http://www.pivovar-regent.cz")</f>
        <v>http://www.pivovar-regent.cz</v>
      </c>
      <c r="K152" s="102" t="str">
        <f>HYPERLINK("https://www.facebook.com/PivovarRegent","https://www.facebook.com/PivovarRegent")</f>
        <v>https://www.facebook.com/PivovarRegent</v>
      </c>
      <c r="L152" s="96" t="s">
        <v>1405</v>
      </c>
      <c r="M152" s="96"/>
      <c r="N152" s="96" t="s">
        <v>1407</v>
      </c>
      <c r="O152" s="96"/>
      <c r="P152" s="96" t="s">
        <v>7632</v>
      </c>
      <c r="Q152" s="96">
        <v>49.002453899999999</v>
      </c>
      <c r="R152" s="96">
        <v>14.772556099999999</v>
      </c>
      <c r="S152" s="100" t="s">
        <v>52</v>
      </c>
      <c r="T152" s="103" t="s">
        <v>369</v>
      </c>
      <c r="U152" s="103" t="s">
        <v>1254</v>
      </c>
      <c r="V152" s="103" t="s">
        <v>1403</v>
      </c>
      <c r="W152" s="103" t="s">
        <v>1403</v>
      </c>
    </row>
    <row r="153" spans="1:23" ht="15.75" customHeight="1">
      <c r="A153" s="96">
        <v>155</v>
      </c>
      <c r="B153" s="97" t="s">
        <v>27</v>
      </c>
      <c r="C153" s="96" t="s">
        <v>1410</v>
      </c>
      <c r="D153" s="96" t="s">
        <v>1411</v>
      </c>
      <c r="E153" s="96" t="s">
        <v>1412</v>
      </c>
      <c r="F153" s="96" t="s">
        <v>1413</v>
      </c>
      <c r="G153" s="99" t="s">
        <v>39</v>
      </c>
      <c r="H153" s="100" t="s">
        <v>40</v>
      </c>
      <c r="I153" s="101">
        <v>2004</v>
      </c>
      <c r="J153" s="102" t="str">
        <f>HYPERLINK("http://www.pivo-richard.cz","http://www.pivo-richard.cz")</f>
        <v>http://www.pivo-richard.cz</v>
      </c>
      <c r="K153" s="102" t="str">
        <f>HYPERLINK("https://www.facebook.com/brnenskyminipivovarrichard","https://www.facebook.com/brnenskyminipivovarrichard")</f>
        <v>https://www.facebook.com/brnenskyminipivovarrichard</v>
      </c>
      <c r="L153" s="96" t="s">
        <v>1415</v>
      </c>
      <c r="M153" s="96"/>
      <c r="N153" s="96" t="s">
        <v>1410</v>
      </c>
      <c r="O153" s="96"/>
      <c r="P153" s="96" t="s">
        <v>7633</v>
      </c>
      <c r="Q153" s="96">
        <v>49.207391999999899</v>
      </c>
      <c r="R153" s="96">
        <v>16.483923999999899</v>
      </c>
      <c r="S153" s="100" t="s">
        <v>52</v>
      </c>
      <c r="T153" s="103" t="s">
        <v>325</v>
      </c>
      <c r="U153" s="103" t="s">
        <v>1017</v>
      </c>
      <c r="V153" s="103" t="s">
        <v>1018</v>
      </c>
      <c r="W153" s="103" t="s">
        <v>1018</v>
      </c>
    </row>
    <row r="154" spans="1:23" ht="15.75" customHeight="1">
      <c r="A154" s="96">
        <v>156</v>
      </c>
      <c r="B154" s="97" t="s">
        <v>27</v>
      </c>
      <c r="C154" s="96" t="s">
        <v>1418</v>
      </c>
      <c r="D154" s="96" t="s">
        <v>1419</v>
      </c>
      <c r="E154" s="96" t="s">
        <v>1420</v>
      </c>
      <c r="F154" s="96" t="s">
        <v>1421</v>
      </c>
      <c r="G154" s="99" t="s">
        <v>39</v>
      </c>
      <c r="H154" s="100" t="s">
        <v>40</v>
      </c>
      <c r="I154" s="101">
        <v>2003</v>
      </c>
      <c r="J154" s="102" t="str">
        <f>HYPERLINK("http://www.pivovarubulovky.cz","http://www.pivovarubulovky.cz")</f>
        <v>http://www.pivovarubulovky.cz</v>
      </c>
      <c r="K154" s="102" t="str">
        <f>HYPERLINK("https://www.facebook.com/pivovarubulovky","https://www.facebook.com/pivovarubulovky")</f>
        <v>https://www.facebook.com/pivovarubulovky</v>
      </c>
      <c r="L154" s="96" t="s">
        <v>1422</v>
      </c>
      <c r="M154" s="96"/>
      <c r="N154" s="96" t="s">
        <v>1424</v>
      </c>
      <c r="O154" s="96"/>
      <c r="P154" s="96" t="s">
        <v>7634</v>
      </c>
      <c r="Q154" s="96">
        <v>50.115271700000001</v>
      </c>
      <c r="R154" s="96">
        <v>14.466290300000001</v>
      </c>
      <c r="S154" s="100" t="s">
        <v>52</v>
      </c>
      <c r="T154" s="103" t="s">
        <v>58</v>
      </c>
      <c r="U154" s="103" t="s">
        <v>58</v>
      </c>
      <c r="V154" s="103" t="s">
        <v>58</v>
      </c>
      <c r="W154" s="103" t="s">
        <v>59</v>
      </c>
    </row>
    <row r="155" spans="1:23" ht="15.75" customHeight="1">
      <c r="A155" s="96">
        <v>157</v>
      </c>
      <c r="B155" s="97" t="s">
        <v>27</v>
      </c>
      <c r="C155" s="96" t="s">
        <v>1426</v>
      </c>
      <c r="D155" s="96" t="s">
        <v>1514</v>
      </c>
      <c r="E155" s="96" t="s">
        <v>1428</v>
      </c>
      <c r="F155" s="96" t="s">
        <v>1429</v>
      </c>
      <c r="G155" s="99" t="s">
        <v>39</v>
      </c>
      <c r="H155" s="100" t="s">
        <v>40</v>
      </c>
      <c r="I155" s="101">
        <v>2010</v>
      </c>
      <c r="J155" s="102" t="str">
        <f>HYPERLINK("http://www.ukomarku.cz","http://www.ukomarku.cz")</f>
        <v>http://www.ukomarku.cz</v>
      </c>
      <c r="K155" s="102" t="str">
        <f>HYPERLINK("https://www.facebook.com/RohovskyMinipivovar","https://www.facebook.com/RohovskyMinipivovar")</f>
        <v>https://www.facebook.com/RohovskyMinipivovar</v>
      </c>
      <c r="L155" s="96" t="s">
        <v>1430</v>
      </c>
      <c r="M155" s="96"/>
      <c r="N155" s="96" t="s">
        <v>1426</v>
      </c>
      <c r="O155" s="107" t="s">
        <v>1520</v>
      </c>
      <c r="P155" s="96" t="s">
        <v>7635</v>
      </c>
      <c r="Q155" s="96">
        <v>50.015324999999898</v>
      </c>
      <c r="R155" s="96">
        <v>18.073035999999899</v>
      </c>
      <c r="S155" s="100" t="s">
        <v>52</v>
      </c>
      <c r="T155" s="103" t="s">
        <v>121</v>
      </c>
      <c r="U155" s="103" t="s">
        <v>516</v>
      </c>
      <c r="V155" s="103" t="s">
        <v>1525</v>
      </c>
      <c r="W155" s="103" t="s">
        <v>1428</v>
      </c>
    </row>
    <row r="156" spans="1:23" ht="15.75" customHeight="1">
      <c r="A156" s="96">
        <v>158</v>
      </c>
      <c r="B156" s="97" t="s">
        <v>27</v>
      </c>
      <c r="C156" s="96" t="s">
        <v>1434</v>
      </c>
      <c r="D156" s="96" t="s">
        <v>1435</v>
      </c>
      <c r="E156" s="96" t="s">
        <v>1436</v>
      </c>
      <c r="F156" s="96" t="s">
        <v>1437</v>
      </c>
      <c r="G156" s="99" t="s">
        <v>39</v>
      </c>
      <c r="H156" s="100" t="s">
        <v>40</v>
      </c>
      <c r="I156" s="101">
        <v>2010</v>
      </c>
      <c r="J156" s="102" t="str">
        <f>HYPERLINK("http://roznovskepivo.cz","http://roznovskepivo.cz")</f>
        <v>http://roznovskepivo.cz</v>
      </c>
      <c r="K156" s="102" t="str">
        <f>HYPERLINK("https://www.facebook.com/roznovskepivnilazne","https://www.facebook.com/roznovskepivnilazne")</f>
        <v>https://www.facebook.com/roznovskepivnilazne</v>
      </c>
      <c r="L156" s="96" t="s">
        <v>1438</v>
      </c>
      <c r="M156" s="96"/>
      <c r="N156" s="96" t="s">
        <v>1440</v>
      </c>
      <c r="O156" s="96"/>
      <c r="P156" s="96" t="s">
        <v>7636</v>
      </c>
      <c r="Q156" s="96">
        <v>49.45673</v>
      </c>
      <c r="R156" s="96">
        <v>18.136837</v>
      </c>
      <c r="S156" s="100" t="s">
        <v>52</v>
      </c>
      <c r="T156" s="103" t="s">
        <v>97</v>
      </c>
      <c r="U156" s="103" t="s">
        <v>287</v>
      </c>
      <c r="V156" s="103" t="s">
        <v>1436</v>
      </c>
      <c r="W156" s="103" t="s">
        <v>1436</v>
      </c>
    </row>
    <row r="157" spans="1:23" ht="15.75" customHeight="1">
      <c r="A157" s="96">
        <v>159</v>
      </c>
      <c r="B157" s="97" t="s">
        <v>27</v>
      </c>
      <c r="C157" s="96" t="s">
        <v>1442</v>
      </c>
      <c r="D157" s="96" t="s">
        <v>1443</v>
      </c>
      <c r="E157" s="96" t="s">
        <v>1444</v>
      </c>
      <c r="F157" s="96" t="s">
        <v>1445</v>
      </c>
      <c r="G157" s="99" t="s">
        <v>39</v>
      </c>
      <c r="H157" s="100" t="s">
        <v>69</v>
      </c>
      <c r="I157" s="101">
        <v>2013</v>
      </c>
      <c r="J157" s="102" t="str">
        <f>HYPERLINK("http://www.pivoruprenz.cz","http://www.pivoruprenz.cz")</f>
        <v>http://www.pivoruprenz.cz</v>
      </c>
      <c r="K157" s="102" t="str">
        <f>HYPERLINK("https://www.facebook.com/pivo.ruprenz","https://www.facebook.com/pivo.ruprenz")</f>
        <v>https://www.facebook.com/pivo.ruprenz</v>
      </c>
      <c r="L157" s="96" t="s">
        <v>1446</v>
      </c>
      <c r="M157" s="96"/>
      <c r="N157" s="96" t="s">
        <v>1448</v>
      </c>
      <c r="O157" s="96"/>
      <c r="P157" s="96" t="s">
        <v>7637</v>
      </c>
      <c r="Q157" s="96">
        <v>49.318480000000001</v>
      </c>
      <c r="R157" s="96">
        <v>15.645388000000001</v>
      </c>
      <c r="S157" s="100" t="s">
        <v>52</v>
      </c>
      <c r="T157" s="103" t="s">
        <v>144</v>
      </c>
      <c r="U157" s="103" t="s">
        <v>636</v>
      </c>
      <c r="V157" s="103" t="s">
        <v>636</v>
      </c>
      <c r="W157" s="103" t="s">
        <v>1535</v>
      </c>
    </row>
    <row r="158" spans="1:23" ht="15.75" customHeight="1">
      <c r="A158" s="96">
        <v>160</v>
      </c>
      <c r="B158" s="97" t="s">
        <v>27</v>
      </c>
      <c r="C158" s="96" t="s">
        <v>1450</v>
      </c>
      <c r="D158" s="96" t="s">
        <v>1451</v>
      </c>
      <c r="E158" s="96" t="s">
        <v>1450</v>
      </c>
      <c r="F158" s="96" t="s">
        <v>1452</v>
      </c>
      <c r="G158" s="99" t="s">
        <v>39</v>
      </c>
      <c r="H158" s="100" t="s">
        <v>60</v>
      </c>
      <c r="I158" s="101">
        <v>2009</v>
      </c>
      <c r="J158" s="102" t="str">
        <f>HYPERLINK("http://www.pivovarrychnov.cz","http://www.pivovarrychnov.cz")</f>
        <v>http://www.pivovarrychnov.cz</v>
      </c>
      <c r="K158" s="102" t="str">
        <f>HYPERLINK("https://www.facebook.com/Městský-Podorlický-pivovar-sro-123787391139550","https://www.facebook.com/Městský-Podorlický-pivovar-sro-123787391139550")</f>
        <v>https://www.facebook.com/Městský-Podorlický-pivovar-sro-123787391139550</v>
      </c>
      <c r="L158" s="96" t="s">
        <v>1454</v>
      </c>
      <c r="M158" s="96"/>
      <c r="N158" s="96" t="s">
        <v>1456</v>
      </c>
      <c r="O158" s="102" t="s">
        <v>1458</v>
      </c>
      <c r="P158" s="96" t="s">
        <v>7638</v>
      </c>
      <c r="Q158" s="96">
        <v>50.171570000000003</v>
      </c>
      <c r="R158" s="96">
        <v>16.278649999999899</v>
      </c>
      <c r="S158" s="100" t="s">
        <v>52</v>
      </c>
      <c r="T158" s="103" t="s">
        <v>207</v>
      </c>
      <c r="U158" s="103" t="s">
        <v>1450</v>
      </c>
      <c r="V158" s="103" t="s">
        <v>1450</v>
      </c>
      <c r="W158" s="103" t="s">
        <v>1450</v>
      </c>
    </row>
    <row r="159" spans="1:23" ht="15.75" customHeight="1">
      <c r="A159" s="96">
        <v>161</v>
      </c>
      <c r="B159" s="97" t="s">
        <v>27</v>
      </c>
      <c r="C159" s="96" t="s">
        <v>1460</v>
      </c>
      <c r="D159" s="96" t="s">
        <v>1461</v>
      </c>
      <c r="E159" s="96" t="s">
        <v>1462</v>
      </c>
      <c r="F159" s="96" t="s">
        <v>1463</v>
      </c>
      <c r="G159" s="99" t="s">
        <v>39</v>
      </c>
      <c r="H159" s="100" t="s">
        <v>78</v>
      </c>
      <c r="I159" s="101">
        <v>1913</v>
      </c>
      <c r="J159" s="102" t="str">
        <f>HYPERLINK("http://www.rychtar.cz","http://www.rychtar.cz")</f>
        <v>http://www.rychtar.cz</v>
      </c>
      <c r="K159" s="102" t="str">
        <f>HYPERLINK("https://www.facebook.com/rychtarpivovar","https://www.facebook.com/rychtarpivovar")</f>
        <v>https://www.facebook.com/rychtarpivovar</v>
      </c>
      <c r="L159" s="96" t="s">
        <v>1464</v>
      </c>
      <c r="M159" s="96"/>
      <c r="N159" s="96" t="s">
        <v>1466</v>
      </c>
      <c r="O159" s="96"/>
      <c r="P159" s="96" t="s">
        <v>7639</v>
      </c>
      <c r="Q159" s="96">
        <v>49.7600219999999</v>
      </c>
      <c r="R159" s="96">
        <v>15.91494</v>
      </c>
      <c r="S159" s="100" t="s">
        <v>7447</v>
      </c>
      <c r="T159" s="103" t="s">
        <v>483</v>
      </c>
      <c r="U159" s="103" t="s">
        <v>702</v>
      </c>
      <c r="V159" s="103" t="s">
        <v>1565</v>
      </c>
      <c r="W159" s="103" t="s">
        <v>1565</v>
      </c>
    </row>
    <row r="160" spans="1:23" ht="15.75" customHeight="1">
      <c r="A160" s="96">
        <v>162</v>
      </c>
      <c r="B160" s="97" t="s">
        <v>27</v>
      </c>
      <c r="C160" s="96" t="s">
        <v>1469</v>
      </c>
      <c r="D160" s="96" t="s">
        <v>1470</v>
      </c>
      <c r="E160" s="96" t="s">
        <v>298</v>
      </c>
      <c r="F160" s="96" t="s">
        <v>1471</v>
      </c>
      <c r="G160" s="99" t="s">
        <v>39</v>
      </c>
      <c r="H160" s="100" t="s">
        <v>78</v>
      </c>
      <c r="I160" s="101">
        <v>1795</v>
      </c>
      <c r="J160" s="102" t="str">
        <f>HYPERLINK("http://www.samson.cz","http://www.samson.cz")</f>
        <v>http://www.samson.cz</v>
      </c>
      <c r="K160" s="102" t="s">
        <v>1472</v>
      </c>
      <c r="L160" s="96" t="s">
        <v>1473</v>
      </c>
      <c r="M160" s="96"/>
      <c r="N160" s="96" t="s">
        <v>1476</v>
      </c>
      <c r="O160" s="96"/>
      <c r="P160" s="96" t="s">
        <v>7640</v>
      </c>
      <c r="Q160" s="96">
        <v>48.963971999999899</v>
      </c>
      <c r="R160" s="96">
        <v>14.4745919999999</v>
      </c>
      <c r="S160" s="100" t="s">
        <v>7447</v>
      </c>
      <c r="T160" s="103" t="s">
        <v>369</v>
      </c>
      <c r="U160" s="103" t="s">
        <v>298</v>
      </c>
      <c r="V160" s="103" t="s">
        <v>298</v>
      </c>
      <c r="W160" s="103" t="s">
        <v>298</v>
      </c>
    </row>
    <row r="161" spans="1:23" ht="15.75" customHeight="1">
      <c r="A161" s="96">
        <v>163</v>
      </c>
      <c r="B161" s="97" t="s">
        <v>27</v>
      </c>
      <c r="C161" s="96" t="s">
        <v>1478</v>
      </c>
      <c r="D161" s="96" t="s">
        <v>1479</v>
      </c>
      <c r="E161" s="96" t="s">
        <v>208</v>
      </c>
      <c r="F161" s="96" t="s">
        <v>1480</v>
      </c>
      <c r="G161" s="99" t="s">
        <v>39</v>
      </c>
      <c r="H161" s="100" t="s">
        <v>89</v>
      </c>
      <c r="I161" s="101" t="s">
        <v>1580</v>
      </c>
      <c r="J161" s="96" t="s">
        <v>1481</v>
      </c>
      <c r="K161" s="96"/>
      <c r="L161" s="96" t="s">
        <v>1482</v>
      </c>
      <c r="M161" s="96" t="s">
        <v>1484</v>
      </c>
      <c r="N161" s="96" t="s">
        <v>1485</v>
      </c>
      <c r="O161" s="96"/>
      <c r="P161" s="96" t="s">
        <v>7641</v>
      </c>
      <c r="Q161" s="101">
        <v>50.208197200000001</v>
      </c>
      <c r="R161" s="101">
        <v>15.829007499999999</v>
      </c>
      <c r="S161" s="100" t="s">
        <v>7447</v>
      </c>
      <c r="T161" s="103" t="s">
        <v>207</v>
      </c>
      <c r="U161" s="103" t="s">
        <v>208</v>
      </c>
      <c r="V161" s="103" t="s">
        <v>208</v>
      </c>
      <c r="W161" s="103" t="s">
        <v>208</v>
      </c>
    </row>
    <row r="162" spans="1:23" ht="15.75" customHeight="1">
      <c r="A162" s="96">
        <v>164</v>
      </c>
      <c r="B162" s="97" t="s">
        <v>27</v>
      </c>
      <c r="C162" s="96" t="s">
        <v>1487</v>
      </c>
      <c r="D162" s="96" t="s">
        <v>1488</v>
      </c>
      <c r="E162" s="96" t="s">
        <v>1489</v>
      </c>
      <c r="F162" s="96" t="s">
        <v>1490</v>
      </c>
      <c r="G162" s="99" t="s">
        <v>39</v>
      </c>
      <c r="H162" s="100" t="s">
        <v>69</v>
      </c>
      <c r="I162" s="101">
        <v>2010</v>
      </c>
      <c r="J162" s="96"/>
      <c r="K162" s="96"/>
      <c r="L162" s="96" t="s">
        <v>1491</v>
      </c>
      <c r="M162" s="96" t="s">
        <v>1493</v>
      </c>
      <c r="N162" s="96" t="s">
        <v>1487</v>
      </c>
      <c r="O162" s="96"/>
      <c r="P162" s="96" t="s">
        <v>7642</v>
      </c>
      <c r="Q162" s="96">
        <v>49.153129999999997</v>
      </c>
      <c r="R162" s="96">
        <v>16.742492800000001</v>
      </c>
      <c r="S162" s="100" t="s">
        <v>7447</v>
      </c>
      <c r="T162" s="103" t="s">
        <v>325</v>
      </c>
      <c r="U162" s="103" t="s">
        <v>952</v>
      </c>
      <c r="V162" s="103" t="s">
        <v>1589</v>
      </c>
      <c r="W162" s="103" t="s">
        <v>1489</v>
      </c>
    </row>
    <row r="163" spans="1:23" ht="15.75" customHeight="1">
      <c r="A163" s="96">
        <v>165</v>
      </c>
      <c r="B163" s="97" t="s">
        <v>27</v>
      </c>
      <c r="C163" s="96" t="s">
        <v>1495</v>
      </c>
      <c r="D163" s="96" t="s">
        <v>1496</v>
      </c>
      <c r="E163" s="96" t="s">
        <v>1497</v>
      </c>
      <c r="F163" s="96" t="s">
        <v>1498</v>
      </c>
      <c r="G163" s="99" t="s">
        <v>39</v>
      </c>
      <c r="H163" s="100" t="s">
        <v>78</v>
      </c>
      <c r="I163" s="101">
        <v>1850</v>
      </c>
      <c r="J163" s="102" t="str">
        <f>HYPERLINK("http://www.pivorohozec.cz","http://www.pivorohozec.cz")</f>
        <v>http://www.pivorohozec.cz</v>
      </c>
      <c r="K163" s="102" t="str">
        <f>HYPERLINK("https://www.facebook.com/Pivovar-ROHOZEC-133415433434790","https://www.facebook.com/Pivovar-ROHOZEC-133415433434790")</f>
        <v>https://www.facebook.com/Pivovar-ROHOZEC-133415433434790</v>
      </c>
      <c r="L163" s="96" t="s">
        <v>1499</v>
      </c>
      <c r="M163" s="96"/>
      <c r="N163" s="96" t="s">
        <v>1501</v>
      </c>
      <c r="O163" s="96"/>
      <c r="P163" s="96" t="s">
        <v>7643</v>
      </c>
      <c r="Q163" s="96">
        <v>50.610383300000002</v>
      </c>
      <c r="R163" s="96">
        <v>15.147456399999999</v>
      </c>
      <c r="S163" s="100" t="s">
        <v>7447</v>
      </c>
      <c r="T163" s="103" t="s">
        <v>67</v>
      </c>
      <c r="U163" s="103" t="s">
        <v>1240</v>
      </c>
      <c r="V163" s="103" t="s">
        <v>1608</v>
      </c>
      <c r="W163" s="103" t="s">
        <v>1608</v>
      </c>
    </row>
    <row r="164" spans="1:23" ht="15.75" customHeight="1">
      <c r="A164" s="96">
        <v>166</v>
      </c>
      <c r="B164" s="97" t="s">
        <v>27</v>
      </c>
      <c r="C164" s="96" t="s">
        <v>1503</v>
      </c>
      <c r="D164" s="96" t="s">
        <v>1504</v>
      </c>
      <c r="E164" s="96" t="s">
        <v>1505</v>
      </c>
      <c r="F164" s="96" t="s">
        <v>1506</v>
      </c>
      <c r="G164" s="99" t="s">
        <v>39</v>
      </c>
      <c r="H164" s="100" t="s">
        <v>69</v>
      </c>
      <c r="I164" s="101">
        <v>2011</v>
      </c>
      <c r="J164" s="102" t="str">
        <f>HYPERLINK("http://www.skreconskyzabak.cz","http://www.skreconskyzabak.cz")</f>
        <v>http://www.skreconskyzabak.cz</v>
      </c>
      <c r="K164" s="102" t="str">
        <f>HYPERLINK("https://www.facebook.com/SkreconskyZabak","https://www.facebook.com/SkreconskyZabak")</f>
        <v>https://www.facebook.com/SkreconskyZabak</v>
      </c>
      <c r="L164" s="96" t="s">
        <v>1507</v>
      </c>
      <c r="M164" s="96"/>
      <c r="N164" s="96" t="s">
        <v>1503</v>
      </c>
      <c r="O164" s="96"/>
      <c r="P164" s="96" t="s">
        <v>7644</v>
      </c>
      <c r="Q164" s="96">
        <v>49.899208000000002</v>
      </c>
      <c r="R164" s="96">
        <v>18.373721</v>
      </c>
      <c r="S164" s="100" t="s">
        <v>52</v>
      </c>
      <c r="T164" s="103" t="s">
        <v>121</v>
      </c>
      <c r="U164" s="103" t="s">
        <v>132</v>
      </c>
      <c r="V164" s="103" t="s">
        <v>1618</v>
      </c>
      <c r="W164" s="103" t="s">
        <v>1618</v>
      </c>
    </row>
    <row r="165" spans="1:23" ht="15.75" customHeight="1">
      <c r="A165" s="96">
        <v>167</v>
      </c>
      <c r="B165" s="97" t="s">
        <v>27</v>
      </c>
      <c r="C165" s="96" t="s">
        <v>1510</v>
      </c>
      <c r="D165" s="96" t="s">
        <v>1511</v>
      </c>
      <c r="E165" s="96" t="s">
        <v>1512</v>
      </c>
      <c r="F165" s="96" t="s">
        <v>1513</v>
      </c>
      <c r="G165" s="99" t="s">
        <v>39</v>
      </c>
      <c r="H165" s="100" t="s">
        <v>40</v>
      </c>
      <c r="I165" s="101">
        <v>2013</v>
      </c>
      <c r="J165" s="102" t="str">
        <f>HYPERLINK("http://www.slavkovskypivovar.cz","http://www.slavkovskypivovar.cz")</f>
        <v>http://www.slavkovskypivovar.cz</v>
      </c>
      <c r="K165" s="102" t="str">
        <f>HYPERLINK("https://www.facebook.com/Slavkovský-pivovar-680032415395044","https://www.facebook.com/Slavkovský-pivovar-680032415395044")</f>
        <v>https://www.facebook.com/Slavkovský-pivovar-680032415395044</v>
      </c>
      <c r="L165" s="96" t="s">
        <v>1515</v>
      </c>
      <c r="M165" s="96"/>
      <c r="N165" s="96" t="s">
        <v>1517</v>
      </c>
      <c r="O165" s="102" t="s">
        <v>1518</v>
      </c>
      <c r="P165" s="96" t="s">
        <v>7645</v>
      </c>
      <c r="Q165" s="96">
        <v>49.149653000000001</v>
      </c>
      <c r="R165" s="96">
        <v>16.888725999999899</v>
      </c>
      <c r="S165" s="100" t="s">
        <v>52</v>
      </c>
      <c r="T165" s="103" t="s">
        <v>325</v>
      </c>
      <c r="U165" s="103" t="s">
        <v>1635</v>
      </c>
      <c r="V165" s="103" t="s">
        <v>1512</v>
      </c>
      <c r="W165" s="103" t="s">
        <v>1512</v>
      </c>
    </row>
    <row r="166" spans="1:23" ht="15.75" customHeight="1">
      <c r="A166" s="96">
        <v>168</v>
      </c>
      <c r="B166" s="97" t="s">
        <v>27</v>
      </c>
      <c r="C166" s="96" t="s">
        <v>1521</v>
      </c>
      <c r="D166" s="96" t="s">
        <v>1522</v>
      </c>
      <c r="E166" s="96" t="s">
        <v>1523</v>
      </c>
      <c r="F166" s="96" t="s">
        <v>1524</v>
      </c>
      <c r="G166" s="99" t="s">
        <v>39</v>
      </c>
      <c r="H166" s="100" t="s">
        <v>69</v>
      </c>
      <c r="I166" s="101">
        <v>2011</v>
      </c>
      <c r="J166" s="102" t="str">
        <f>HYPERLINK("http://www.minipivovar-ujkovice.cz","http://www.minipivovar-ujkovice.cz")</f>
        <v>http://www.minipivovar-ujkovice.cz</v>
      </c>
      <c r="K166" s="102" t="str">
        <f>HYPERLINK("https://www.facebook.com/minipivovar.ujkovice","https://www.facebook.com/minipivovar.ujkovice")</f>
        <v>https://www.facebook.com/minipivovar.ujkovice</v>
      </c>
      <c r="L166" s="96" t="s">
        <v>1526</v>
      </c>
      <c r="M166" s="96"/>
      <c r="N166" s="96" t="s">
        <v>1521</v>
      </c>
      <c r="O166" s="96"/>
      <c r="P166" s="96" t="s">
        <v>7646</v>
      </c>
      <c r="Q166" s="96">
        <v>50.362538000000001</v>
      </c>
      <c r="R166" s="96">
        <v>15.09582</v>
      </c>
      <c r="S166" s="100" t="s">
        <v>7447</v>
      </c>
      <c r="T166" s="103" t="s">
        <v>71</v>
      </c>
      <c r="U166" s="103" t="s">
        <v>810</v>
      </c>
      <c r="V166" s="103" t="s">
        <v>810</v>
      </c>
      <c r="W166" s="103" t="s">
        <v>1523</v>
      </c>
    </row>
    <row r="167" spans="1:23" ht="15.75" customHeight="1">
      <c r="A167" s="96">
        <v>169</v>
      </c>
      <c r="B167" s="97" t="s">
        <v>27</v>
      </c>
      <c r="C167" s="96" t="s">
        <v>1529</v>
      </c>
      <c r="D167" s="96" t="s">
        <v>1530</v>
      </c>
      <c r="E167" s="96" t="s">
        <v>1531</v>
      </c>
      <c r="F167" s="96" t="s">
        <v>1531</v>
      </c>
      <c r="G167" s="99" t="s">
        <v>39</v>
      </c>
      <c r="H167" s="100" t="s">
        <v>60</v>
      </c>
      <c r="I167" s="101">
        <v>2006</v>
      </c>
      <c r="J167" s="102" t="str">
        <f>HYPERLINK("http://www.pivovarslezan.cz","http://www.pivovarslezan.cz")</f>
        <v>http://www.pivovarslezan.cz</v>
      </c>
      <c r="K167" s="102" t="str">
        <f>HYPERLINK("https://www.facebook.com/pivovarslezan.cz","https://www.facebook.com/pivovarslezan.cz")</f>
        <v>https://www.facebook.com/pivovarslezan.cz</v>
      </c>
      <c r="L167" s="96" t="s">
        <v>1532</v>
      </c>
      <c r="M167" s="96"/>
      <c r="N167" s="96" t="s">
        <v>1529</v>
      </c>
      <c r="O167" s="102" t="s">
        <v>1534</v>
      </c>
      <c r="P167" s="96" t="s">
        <v>7647</v>
      </c>
      <c r="Q167" s="96">
        <v>49.784476099999999</v>
      </c>
      <c r="R167" s="96">
        <v>17.9138375</v>
      </c>
      <c r="S167" s="100" t="s">
        <v>52</v>
      </c>
      <c r="T167" s="103" t="s">
        <v>121</v>
      </c>
      <c r="U167" s="103" t="s">
        <v>516</v>
      </c>
      <c r="V167" s="103" t="s">
        <v>1665</v>
      </c>
      <c r="W167" s="103" t="s">
        <v>1666</v>
      </c>
    </row>
    <row r="168" spans="1:23" ht="15.75" customHeight="1">
      <c r="A168" s="96">
        <v>170</v>
      </c>
      <c r="B168" s="97" t="s">
        <v>27</v>
      </c>
      <c r="C168" s="96" t="s">
        <v>1537</v>
      </c>
      <c r="D168" s="96" t="s">
        <v>1538</v>
      </c>
      <c r="E168" s="96" t="s">
        <v>1539</v>
      </c>
      <c r="F168" s="96" t="s">
        <v>1540</v>
      </c>
      <c r="G168" s="99" t="s">
        <v>39</v>
      </c>
      <c r="H168" s="100" t="s">
        <v>78</v>
      </c>
      <c r="I168" s="101">
        <v>1872</v>
      </c>
      <c r="J168" s="102" t="str">
        <f>HYPERLINK("http://www.starobrno.cz","http://www.starobrno.cz")</f>
        <v>http://www.starobrno.cz</v>
      </c>
      <c r="K168" s="102" t="str">
        <f>HYPERLINK("https://www.facebook.com/pivostarobrno","https://www.facebook.com/pivostarobrno")</f>
        <v>https://www.facebook.com/pivostarobrno</v>
      </c>
      <c r="L168" s="96" t="s">
        <v>1541</v>
      </c>
      <c r="M168" s="96"/>
      <c r="N168" s="96" t="s">
        <v>1543</v>
      </c>
      <c r="O168" s="96"/>
      <c r="P168" s="96" t="s">
        <v>7648</v>
      </c>
      <c r="Q168" s="96">
        <v>49.191028000000003</v>
      </c>
      <c r="R168" s="96">
        <v>16.591764000000001</v>
      </c>
      <c r="S168" s="100" t="s">
        <v>7447</v>
      </c>
      <c r="T168" s="103" t="s">
        <v>325</v>
      </c>
      <c r="U168" s="103" t="s">
        <v>1017</v>
      </c>
      <c r="V168" s="103" t="s">
        <v>1018</v>
      </c>
      <c r="W168" s="103" t="s">
        <v>1018</v>
      </c>
    </row>
    <row r="169" spans="1:23" ht="15.75" customHeight="1">
      <c r="A169" s="96">
        <v>171</v>
      </c>
      <c r="B169" s="97" t="s">
        <v>27</v>
      </c>
      <c r="C169" s="96" t="s">
        <v>1545</v>
      </c>
      <c r="D169" s="96" t="s">
        <v>1546</v>
      </c>
      <c r="E169" s="96" t="s">
        <v>72</v>
      </c>
      <c r="F169" s="96" t="s">
        <v>1547</v>
      </c>
      <c r="G169" s="99" t="s">
        <v>39</v>
      </c>
      <c r="H169" s="100" t="s">
        <v>40</v>
      </c>
      <c r="I169" s="101">
        <v>2009</v>
      </c>
      <c r="J169" s="102" t="str">
        <f>HYPERLINK("http://www.starokladno.cz","http://www.starokladno.cz")</f>
        <v>http://www.starokladno.cz</v>
      </c>
      <c r="K169" s="102" t="str">
        <f>HYPERLINK("https://www.facebook.com/Starokladno","https://www.facebook.com/Starokladno")</f>
        <v>https://www.facebook.com/Starokladno</v>
      </c>
      <c r="L169" s="96" t="s">
        <v>1548</v>
      </c>
      <c r="M169" s="96"/>
      <c r="N169" s="96" t="s">
        <v>1550</v>
      </c>
      <c r="O169" s="102" t="s">
        <v>1552</v>
      </c>
      <c r="P169" s="96" t="s">
        <v>7649</v>
      </c>
      <c r="Q169" s="96">
        <v>50.144919700000003</v>
      </c>
      <c r="R169" s="96">
        <v>14.0924394</v>
      </c>
      <c r="S169" s="100" t="s">
        <v>52</v>
      </c>
      <c r="T169" s="103" t="s">
        <v>71</v>
      </c>
      <c r="U169" s="103" t="s">
        <v>72</v>
      </c>
      <c r="V169" s="103" t="s">
        <v>72</v>
      </c>
      <c r="W169" s="103" t="s">
        <v>72</v>
      </c>
    </row>
    <row r="170" spans="1:23" ht="15.75" customHeight="1">
      <c r="A170" s="96">
        <v>172</v>
      </c>
      <c r="B170" s="97" t="s">
        <v>27</v>
      </c>
      <c r="C170" s="96" t="s">
        <v>1554</v>
      </c>
      <c r="D170" s="96" t="s">
        <v>1555</v>
      </c>
      <c r="E170" s="96" t="s">
        <v>1556</v>
      </c>
      <c r="F170" s="96" t="s">
        <v>1557</v>
      </c>
      <c r="G170" s="99" t="s">
        <v>39</v>
      </c>
      <c r="H170" s="100" t="s">
        <v>78</v>
      </c>
      <c r="I170" s="101">
        <v>1869</v>
      </c>
      <c r="J170" s="102" t="str">
        <f>HYPERLINK("http://www.staropramen.cz","http://www.staropramen.cz")</f>
        <v>http://www.staropramen.cz</v>
      </c>
      <c r="K170" s="102" t="str">
        <f>HYPERLINK("https://www.facebook.com/Staropramen","https://www.facebook.com/Staropramen")</f>
        <v>https://www.facebook.com/Staropramen</v>
      </c>
      <c r="L170" s="96" t="s">
        <v>1558</v>
      </c>
      <c r="M170" s="96"/>
      <c r="N170" s="96" t="s">
        <v>1560</v>
      </c>
      <c r="O170" s="96"/>
      <c r="P170" s="96" t="s">
        <v>7650</v>
      </c>
      <c r="Q170" s="108">
        <v>50.068615600000001</v>
      </c>
      <c r="R170" s="108">
        <v>14.4075653</v>
      </c>
      <c r="S170" s="100" t="s">
        <v>7447</v>
      </c>
      <c r="T170" s="103" t="s">
        <v>58</v>
      </c>
      <c r="U170" s="103" t="s">
        <v>58</v>
      </c>
      <c r="V170" s="103" t="s">
        <v>58</v>
      </c>
      <c r="W170" s="103" t="s">
        <v>59</v>
      </c>
    </row>
    <row r="171" spans="1:23" ht="15.75" customHeight="1">
      <c r="A171" s="96">
        <v>173</v>
      </c>
      <c r="B171" s="97" t="s">
        <v>27</v>
      </c>
      <c r="C171" s="96" t="s">
        <v>1562</v>
      </c>
      <c r="D171" s="96" t="s">
        <v>1563</v>
      </c>
      <c r="E171" s="96" t="s">
        <v>1453</v>
      </c>
      <c r="F171" s="96" t="s">
        <v>1564</v>
      </c>
      <c r="G171" s="99" t="s">
        <v>39</v>
      </c>
      <c r="H171" s="100" t="s">
        <v>60</v>
      </c>
      <c r="I171" s="101">
        <v>2011</v>
      </c>
      <c r="J171" s="102" t="str">
        <f>HYPERLINK("http://www.ustocesu.cz","http://www.ustocesu.cz")</f>
        <v>http://www.ustocesu.cz</v>
      </c>
      <c r="K171" s="102" t="str">
        <f>HYPERLINK("https://www.facebook.com/ustocesu","https://www.facebook.com/ustocesu")</f>
        <v>https://www.facebook.com/ustocesu</v>
      </c>
      <c r="L171" s="96" t="s">
        <v>1566</v>
      </c>
      <c r="M171" s="96"/>
      <c r="N171" s="96" t="s">
        <v>1568</v>
      </c>
      <c r="O171" s="102" t="s">
        <v>1570</v>
      </c>
      <c r="P171" s="96" t="s">
        <v>7651</v>
      </c>
      <c r="Q171" s="96">
        <v>49.738072000000003</v>
      </c>
      <c r="R171" s="96">
        <v>13.585100000000001</v>
      </c>
      <c r="S171" s="100" t="s">
        <v>52</v>
      </c>
      <c r="T171" s="103" t="s">
        <v>217</v>
      </c>
      <c r="U171" s="103" t="s">
        <v>1453</v>
      </c>
      <c r="V171" s="103" t="s">
        <v>1453</v>
      </c>
      <c r="W171" s="103" t="s">
        <v>1453</v>
      </c>
    </row>
    <row r="172" spans="1:23" ht="15.75" customHeight="1">
      <c r="A172" s="96">
        <v>174</v>
      </c>
      <c r="B172" s="97" t="s">
        <v>27</v>
      </c>
      <c r="C172" s="96" t="s">
        <v>1572</v>
      </c>
      <c r="D172" s="96" t="s">
        <v>1573</v>
      </c>
      <c r="E172" s="96" t="s">
        <v>1574</v>
      </c>
      <c r="F172" s="96" t="s">
        <v>1575</v>
      </c>
      <c r="G172" s="99" t="s">
        <v>39</v>
      </c>
      <c r="H172" s="100" t="s">
        <v>60</v>
      </c>
      <c r="I172" s="101">
        <v>2010</v>
      </c>
      <c r="J172" s="102" t="str">
        <f>HYPERLINK("http://www.minipivovar.eu","http://www.minipivovar.eu")</f>
        <v>http://www.minipivovar.eu</v>
      </c>
      <c r="K172" s="96"/>
      <c r="L172" s="96" t="s">
        <v>1576</v>
      </c>
      <c r="M172" s="96"/>
      <c r="N172" s="96" t="s">
        <v>1578</v>
      </c>
      <c r="O172" s="96"/>
      <c r="P172" s="96" t="s">
        <v>7652</v>
      </c>
      <c r="Q172" s="96">
        <v>50.810620999999898</v>
      </c>
      <c r="R172" s="96">
        <v>15.0315449999999</v>
      </c>
      <c r="S172" s="100" t="s">
        <v>7447</v>
      </c>
      <c r="T172" s="103" t="s">
        <v>67</v>
      </c>
      <c r="U172" s="103" t="s">
        <v>68</v>
      </c>
      <c r="V172" s="103" t="s">
        <v>68</v>
      </c>
      <c r="W172" s="103" t="s">
        <v>68</v>
      </c>
    </row>
    <row r="173" spans="1:23" ht="15.75" customHeight="1">
      <c r="A173" s="96">
        <v>175</v>
      </c>
      <c r="B173" s="97" t="s">
        <v>27</v>
      </c>
      <c r="C173" s="96" t="s">
        <v>1581</v>
      </c>
      <c r="D173" s="96" t="s">
        <v>1582</v>
      </c>
      <c r="E173" s="96" t="s">
        <v>1583</v>
      </c>
      <c r="F173" s="96" t="s">
        <v>1584</v>
      </c>
      <c r="G173" s="99" t="s">
        <v>39</v>
      </c>
      <c r="H173" s="100" t="s">
        <v>40</v>
      </c>
      <c r="I173" s="101">
        <v>2001</v>
      </c>
      <c r="J173" s="102" t="str">
        <f>HYPERLINK("http://www.klasterni-pivovar.cz","http://www.klasterni-pivovar.cz")</f>
        <v>http://www.klasterni-pivovar.cz</v>
      </c>
      <c r="K173" s="102" t="str">
        <f>HYPERLINK("https://www.facebook.com/KlasterniPivovarStrahovARestauraceSvatyNorbert","https://www.facebook.com/KlasterniPivovarStrahovARestauraceSvatyNorbert")</f>
        <v>https://www.facebook.com/KlasterniPivovarStrahovARestauraceSvatyNorbert</v>
      </c>
      <c r="L173" s="96" t="s">
        <v>1585</v>
      </c>
      <c r="M173" s="96"/>
      <c r="N173" s="96" t="s">
        <v>1587</v>
      </c>
      <c r="O173" s="96"/>
      <c r="P173" s="96" t="s">
        <v>7653</v>
      </c>
      <c r="Q173" s="96">
        <v>50.086879699999997</v>
      </c>
      <c r="R173" s="96">
        <v>14.3885033</v>
      </c>
      <c r="S173" s="100" t="s">
        <v>7447</v>
      </c>
      <c r="T173" s="103" t="s">
        <v>58</v>
      </c>
      <c r="U173" s="103" t="s">
        <v>58</v>
      </c>
      <c r="V173" s="103" t="s">
        <v>58</v>
      </c>
      <c r="W173" s="103" t="s">
        <v>59</v>
      </c>
    </row>
    <row r="174" spans="1:23" ht="15.75" customHeight="1">
      <c r="A174" s="96">
        <v>176</v>
      </c>
      <c r="B174" s="97" t="s">
        <v>27</v>
      </c>
      <c r="C174" s="96" t="s">
        <v>1590</v>
      </c>
      <c r="D174" s="96" t="s">
        <v>1591</v>
      </c>
      <c r="E174" s="96" t="s">
        <v>1592</v>
      </c>
      <c r="F174" s="96" t="s">
        <v>1593</v>
      </c>
      <c r="G174" s="99" t="s">
        <v>39</v>
      </c>
      <c r="H174" s="100" t="s">
        <v>69</v>
      </c>
      <c r="I174" s="101">
        <v>2012</v>
      </c>
      <c r="J174" s="102" t="str">
        <f>HYPERLINK("http://svatokopeckepivo.cz","http://svatokopeckepivo.cz")</f>
        <v>http://svatokopeckepivo.cz</v>
      </c>
      <c r="K174" s="102" t="str">
        <f>HYPERLINK("https://www.facebook.com/svatokopeckepivo","https://www.facebook.com/svatokopeckepivo")</f>
        <v>https://www.facebook.com/svatokopeckepivo</v>
      </c>
      <c r="L174" s="96" t="s">
        <v>1594</v>
      </c>
      <c r="M174" s="96"/>
      <c r="N174" s="96" t="s">
        <v>1595</v>
      </c>
      <c r="O174" s="96"/>
      <c r="P174" s="96" t="s">
        <v>7654</v>
      </c>
      <c r="Q174" s="96">
        <v>49.630592200000002</v>
      </c>
      <c r="R174" s="96">
        <v>17.339038899999998</v>
      </c>
      <c r="S174" s="100" t="s">
        <v>7447</v>
      </c>
      <c r="T174" s="103" t="s">
        <v>312</v>
      </c>
      <c r="U174" s="103" t="s">
        <v>1034</v>
      </c>
      <c r="V174" s="103" t="s">
        <v>1034</v>
      </c>
      <c r="W174" s="103" t="s">
        <v>1034</v>
      </c>
    </row>
    <row r="175" spans="1:23" ht="15.75" customHeight="1">
      <c r="A175" s="96">
        <v>177</v>
      </c>
      <c r="B175" s="97" t="s">
        <v>27</v>
      </c>
      <c r="C175" s="96" t="s">
        <v>1597</v>
      </c>
      <c r="D175" s="96" t="s">
        <v>1598</v>
      </c>
      <c r="E175" s="96" t="s">
        <v>1034</v>
      </c>
      <c r="F175" s="96" t="s">
        <v>1599</v>
      </c>
      <c r="G175" s="99" t="s">
        <v>39</v>
      </c>
      <c r="H175" s="100" t="s">
        <v>40</v>
      </c>
      <c r="I175" s="101" t="s">
        <v>1600</v>
      </c>
      <c r="J175" s="102" t="str">
        <f>HYPERLINK("http://www.svatovaclavsky-pivovar.cz","http://www.svatovaclavsky-pivovar.cz")</f>
        <v>http://www.svatovaclavsky-pivovar.cz</v>
      </c>
      <c r="K175" s="96"/>
      <c r="L175" s="96" t="s">
        <v>1601</v>
      </c>
      <c r="M175" s="96" t="s">
        <v>1603</v>
      </c>
      <c r="N175" s="96" t="s">
        <v>1604</v>
      </c>
      <c r="O175" s="96"/>
      <c r="P175" s="96" t="s">
        <v>7655</v>
      </c>
      <c r="Q175" s="96">
        <v>49.595866999999899</v>
      </c>
      <c r="R175" s="96">
        <v>17.258710000000001</v>
      </c>
      <c r="S175" s="100" t="s">
        <v>52</v>
      </c>
      <c r="T175" s="103" t="s">
        <v>312</v>
      </c>
      <c r="U175" s="103" t="s">
        <v>1034</v>
      </c>
      <c r="V175" s="103" t="s">
        <v>1034</v>
      </c>
      <c r="W175" s="103" t="s">
        <v>1034</v>
      </c>
    </row>
    <row r="176" spans="1:23" ht="15.75" customHeight="1">
      <c r="A176" s="96">
        <v>178</v>
      </c>
      <c r="B176" s="97" t="s">
        <v>27</v>
      </c>
      <c r="C176" s="96" t="s">
        <v>1606</v>
      </c>
      <c r="D176" s="96" t="s">
        <v>1607</v>
      </c>
      <c r="E176" s="96" t="s">
        <v>1267</v>
      </c>
      <c r="F176" s="96" t="s">
        <v>1609</v>
      </c>
      <c r="G176" s="99" t="s">
        <v>39</v>
      </c>
      <c r="H176" s="100" t="s">
        <v>40</v>
      </c>
      <c r="I176" s="101">
        <v>2004</v>
      </c>
      <c r="J176" s="102" t="str">
        <f>HYPERLINK("http://www.pivovar-lipnik.cz","http://www.pivovar-lipnik.cz")</f>
        <v>http://www.pivovar-lipnik.cz</v>
      </c>
      <c r="K176" s="102" t="str">
        <f>HYPERLINK("https://www.facebook.com/PivovarLipnik","https://www.facebook.com/PivovarLipnik")</f>
        <v>https://www.facebook.com/PivovarLipnik</v>
      </c>
      <c r="L176" s="96" t="s">
        <v>1610</v>
      </c>
      <c r="M176" s="96"/>
      <c r="N176" s="96" t="s">
        <v>1606</v>
      </c>
      <c r="O176" s="96"/>
      <c r="P176" s="96" t="s">
        <v>7656</v>
      </c>
      <c r="Q176" s="96">
        <v>49.526618900000003</v>
      </c>
      <c r="R176" s="96">
        <v>17.5892011</v>
      </c>
      <c r="S176" s="100" t="s">
        <v>52</v>
      </c>
      <c r="T176" s="103" t="s">
        <v>312</v>
      </c>
      <c r="U176" s="103" t="s">
        <v>1153</v>
      </c>
      <c r="V176" s="103" t="s">
        <v>1267</v>
      </c>
      <c r="W176" s="103" t="s">
        <v>1267</v>
      </c>
    </row>
    <row r="177" spans="1:23" ht="15.75" customHeight="1">
      <c r="A177" s="96">
        <v>179</v>
      </c>
      <c r="B177" s="97" t="s">
        <v>27</v>
      </c>
      <c r="C177" s="96" t="s">
        <v>1613</v>
      </c>
      <c r="D177" s="96" t="s">
        <v>1614</v>
      </c>
      <c r="E177" s="96" t="s">
        <v>1615</v>
      </c>
      <c r="F177" s="96" t="s">
        <v>1616</v>
      </c>
      <c r="G177" s="99" t="s">
        <v>39</v>
      </c>
      <c r="H177" s="100" t="s">
        <v>40</v>
      </c>
      <c r="I177" s="101">
        <v>2005</v>
      </c>
      <c r="J177" s="102" t="str">
        <f>HYPERLINK("http://www.hotel-loket.cz","http://www.hotel-loket.cz")</f>
        <v>http://www.hotel-loket.cz</v>
      </c>
      <c r="K177" s="102" t="str">
        <f>HYPERLINK("https://www.facebook.com/Rodinný-pivovar-Sv-Florián-108809569153206","https://www.facebook.com/Rodinný-pivovar-Sv-Florián-108809569153206")</f>
        <v>https://www.facebook.com/Rodinný-pivovar-Sv-Florián-108809569153206</v>
      </c>
      <c r="L177" s="96" t="s">
        <v>1617</v>
      </c>
      <c r="M177" s="96"/>
      <c r="N177" s="96" t="s">
        <v>1620</v>
      </c>
      <c r="O177" s="96" t="s">
        <v>1621</v>
      </c>
      <c r="P177" s="96" t="s">
        <v>7657</v>
      </c>
      <c r="Q177" s="96">
        <v>50.186760999999898</v>
      </c>
      <c r="R177" s="96">
        <v>12.752764000000001</v>
      </c>
      <c r="S177" s="100" t="s">
        <v>52</v>
      </c>
      <c r="T177" s="103" t="s">
        <v>573</v>
      </c>
      <c r="U177" s="103" t="s">
        <v>986</v>
      </c>
      <c r="V177" s="103" t="s">
        <v>986</v>
      </c>
      <c r="W177" s="103" t="s">
        <v>1615</v>
      </c>
    </row>
    <row r="178" spans="1:23" ht="15.75" customHeight="1">
      <c r="A178" s="96">
        <v>180</v>
      </c>
      <c r="B178" s="97" t="s">
        <v>27</v>
      </c>
      <c r="C178" s="96" t="s">
        <v>1623</v>
      </c>
      <c r="D178" s="96" t="s">
        <v>1624</v>
      </c>
      <c r="E178" s="96" t="s">
        <v>1625</v>
      </c>
      <c r="F178" s="96" t="s">
        <v>1626</v>
      </c>
      <c r="G178" s="99" t="s">
        <v>39</v>
      </c>
      <c r="H178" s="100" t="s">
        <v>69</v>
      </c>
      <c r="I178" s="101">
        <v>1996</v>
      </c>
      <c r="J178" s="102" t="str">
        <f>HYPERLINK("http://www.pivovarek.cz","http://www.pivovarek.cz")</f>
        <v>http://www.pivovarek.cz</v>
      </c>
      <c r="K178" s="96"/>
      <c r="L178" s="96" t="s">
        <v>1627</v>
      </c>
      <c r="M178" s="96"/>
      <c r="N178" s="96" t="s">
        <v>1629</v>
      </c>
      <c r="O178" s="96"/>
      <c r="P178" s="96" t="s">
        <v>7658</v>
      </c>
      <c r="Q178" s="96">
        <v>50.003266000000004</v>
      </c>
      <c r="R178" s="96">
        <v>15.2086469999999</v>
      </c>
      <c r="S178" s="100" t="s">
        <v>7447</v>
      </c>
      <c r="T178" s="103" t="s">
        <v>71</v>
      </c>
      <c r="U178" s="103" t="s">
        <v>1838</v>
      </c>
      <c r="V178" s="103" t="s">
        <v>1838</v>
      </c>
      <c r="W178" s="103" t="s">
        <v>1625</v>
      </c>
    </row>
    <row r="179" spans="1:23" ht="15.75" customHeight="1">
      <c r="A179" s="96">
        <v>181</v>
      </c>
      <c r="B179" s="97" t="s">
        <v>27</v>
      </c>
      <c r="C179" s="96" t="s">
        <v>1631</v>
      </c>
      <c r="D179" s="96" t="s">
        <v>1632</v>
      </c>
      <c r="E179" s="96" t="s">
        <v>1631</v>
      </c>
      <c r="F179" s="96" t="s">
        <v>1633</v>
      </c>
      <c r="G179" s="99" t="s">
        <v>39</v>
      </c>
      <c r="H179" s="100" t="s">
        <v>78</v>
      </c>
      <c r="I179" s="101">
        <v>1564</v>
      </c>
      <c r="J179" s="102" t="str">
        <f>HYPERLINK("http://www.pivovarsvijany.cz","http://www.pivovarsvijany.cz")</f>
        <v>http://www.pivovarsvijany.cz</v>
      </c>
      <c r="K179" s="102" t="str">
        <f>HYPERLINK("https://www.facebook.com/Svijany","https://www.facebook.com/Svijany")</f>
        <v>https://www.facebook.com/Svijany</v>
      </c>
      <c r="L179" s="96" t="s">
        <v>1634</v>
      </c>
      <c r="M179" s="96"/>
      <c r="N179" s="96" t="s">
        <v>1637</v>
      </c>
      <c r="O179" s="96"/>
      <c r="P179" s="96" t="s">
        <v>7659</v>
      </c>
      <c r="Q179" s="96">
        <v>50.572496700000002</v>
      </c>
      <c r="R179" s="96">
        <v>15.054064199999999</v>
      </c>
      <c r="S179" s="100" t="s">
        <v>7447</v>
      </c>
      <c r="T179" s="103" t="s">
        <v>67</v>
      </c>
      <c r="U179" s="103" t="s">
        <v>68</v>
      </c>
      <c r="V179" s="103" t="s">
        <v>1608</v>
      </c>
      <c r="W179" s="103" t="s">
        <v>1631</v>
      </c>
    </row>
    <row r="180" spans="1:23" ht="15.75" customHeight="1">
      <c r="A180" s="96">
        <v>182</v>
      </c>
      <c r="B180" s="97" t="s">
        <v>27</v>
      </c>
      <c r="C180" s="96" t="s">
        <v>1639</v>
      </c>
      <c r="D180" s="96" t="s">
        <v>1640</v>
      </c>
      <c r="E180" s="96" t="s">
        <v>1641</v>
      </c>
      <c r="F180" s="96" t="s">
        <v>1642</v>
      </c>
      <c r="G180" s="99" t="s">
        <v>39</v>
      </c>
      <c r="H180" s="100" t="s">
        <v>69</v>
      </c>
      <c r="I180" s="101">
        <v>2012</v>
      </c>
      <c r="J180" s="102" t="str">
        <f>HYPERLINK("http://www.syrovar.cz","http://www.syrovar.cz")</f>
        <v>http://www.syrovar.cz</v>
      </c>
      <c r="K180" s="102" t="str">
        <f>HYPERLINK("https://www.facebook.com/www.syrovar.cz","https://www.facebook.com/www.syrovar.cz")</f>
        <v>https://www.facebook.com/www.syrovar.cz</v>
      </c>
      <c r="L180" s="96" t="s">
        <v>1643</v>
      </c>
      <c r="M180" s="96"/>
      <c r="N180" s="96" t="s">
        <v>1645</v>
      </c>
      <c r="O180" s="102" t="s">
        <v>1646</v>
      </c>
      <c r="P180" s="96" t="s">
        <v>7660</v>
      </c>
      <c r="Q180" s="96">
        <v>49.026492500000003</v>
      </c>
      <c r="R180" s="96">
        <v>17.263796899999999</v>
      </c>
      <c r="S180" s="100" t="s">
        <v>52</v>
      </c>
      <c r="T180" s="103" t="s">
        <v>325</v>
      </c>
      <c r="U180" s="103" t="s">
        <v>819</v>
      </c>
      <c r="V180" s="103" t="s">
        <v>820</v>
      </c>
      <c r="W180" s="103" t="s">
        <v>1641</v>
      </c>
    </row>
    <row r="181" spans="1:23" ht="15.75" customHeight="1">
      <c r="A181" s="96">
        <v>183</v>
      </c>
      <c r="B181" s="97" t="s">
        <v>27</v>
      </c>
      <c r="C181" s="96" t="s">
        <v>1332</v>
      </c>
      <c r="D181" s="96" t="s">
        <v>1648</v>
      </c>
      <c r="E181" s="96" t="s">
        <v>419</v>
      </c>
      <c r="F181" s="96" t="s">
        <v>1649</v>
      </c>
      <c r="G181" s="99" t="s">
        <v>39</v>
      </c>
      <c r="H181" s="100" t="s">
        <v>40</v>
      </c>
      <c r="I181" s="101">
        <v>1998</v>
      </c>
      <c r="J181" s="102" t="str">
        <f>HYPERLINK("http://www.pivovarskydum.com","http://www.pivovarskydum.com")</f>
        <v>http://www.pivovarskydum.com</v>
      </c>
      <c r="K181" s="102" t="str">
        <f>HYPERLINK("https://www.facebook.com/Pivovarskydum","https://www.facebook.com/Pivovarskydum")</f>
        <v>https://www.facebook.com/Pivovarskydum</v>
      </c>
      <c r="L181" s="96" t="s">
        <v>1650</v>
      </c>
      <c r="M181" s="96"/>
      <c r="N181" s="96" t="s">
        <v>1652</v>
      </c>
      <c r="O181" s="96"/>
      <c r="P181" s="96" t="s">
        <v>7661</v>
      </c>
      <c r="Q181" s="96">
        <v>50.075358000000001</v>
      </c>
      <c r="R181" s="96">
        <v>14.423824</v>
      </c>
      <c r="S181" s="100" t="s">
        <v>52</v>
      </c>
      <c r="T181" s="103" t="s">
        <v>58</v>
      </c>
      <c r="U181" s="103" t="s">
        <v>58</v>
      </c>
      <c r="V181" s="103" t="s">
        <v>58</v>
      </c>
      <c r="W181" s="103" t="s">
        <v>59</v>
      </c>
    </row>
    <row r="182" spans="1:23" ht="15.75" customHeight="1">
      <c r="A182" s="96">
        <v>184</v>
      </c>
      <c r="B182" s="97" t="s">
        <v>27</v>
      </c>
      <c r="C182" s="96" t="s">
        <v>1655</v>
      </c>
      <c r="D182" s="96" t="s">
        <v>1656</v>
      </c>
      <c r="E182" s="96" t="s">
        <v>977</v>
      </c>
      <c r="F182" s="96" t="s">
        <v>1657</v>
      </c>
      <c r="G182" s="99" t="s">
        <v>39</v>
      </c>
      <c r="H182" s="100" t="s">
        <v>40</v>
      </c>
      <c r="I182" s="101">
        <v>2010</v>
      </c>
      <c r="J182" s="102" t="str">
        <f>HYPERLINK("http://www.sumavskypivovar.cz","http://www.sumavskypivovar.cz")</f>
        <v>http://www.sumavskypivovar.cz</v>
      </c>
      <c r="K182" s="102" t="str">
        <f>HYPERLINK("https://www.facebook.com/sumavskypivovarvimperk","https://www.facebook.com/sumavskypivovarvimperk")</f>
        <v>https://www.facebook.com/sumavskypivovarvimperk</v>
      </c>
      <c r="L182" s="96" t="s">
        <v>1658</v>
      </c>
      <c r="M182" s="96"/>
      <c r="N182" s="96" t="s">
        <v>1660</v>
      </c>
      <c r="O182" s="96"/>
      <c r="P182" s="96" t="s">
        <v>7662</v>
      </c>
      <c r="Q182" s="96">
        <v>49.052481999999898</v>
      </c>
      <c r="R182" s="96">
        <v>13.774951</v>
      </c>
      <c r="S182" s="100" t="s">
        <v>52</v>
      </c>
      <c r="T182" s="103" t="s">
        <v>369</v>
      </c>
      <c r="U182" s="103" t="s">
        <v>976</v>
      </c>
      <c r="V182" s="103" t="s">
        <v>977</v>
      </c>
      <c r="W182" s="103" t="s">
        <v>977</v>
      </c>
    </row>
    <row r="183" spans="1:23" ht="15.75" customHeight="1">
      <c r="A183" s="96">
        <v>185</v>
      </c>
      <c r="B183" s="97" t="s">
        <v>27</v>
      </c>
      <c r="C183" s="96" t="s">
        <v>1662</v>
      </c>
      <c r="D183" s="96" t="s">
        <v>1663</v>
      </c>
      <c r="E183" s="96" t="s">
        <v>819</v>
      </c>
      <c r="F183" s="96" t="s">
        <v>1664</v>
      </c>
      <c r="G183" s="99" t="s">
        <v>39</v>
      </c>
      <c r="H183" s="100" t="s">
        <v>40</v>
      </c>
      <c r="I183" s="101">
        <v>1994</v>
      </c>
      <c r="J183" s="102" t="str">
        <f>HYPERLINK("http://www.minipivovarkunc.cz","http://www.minipivovarkunc.cz")</f>
        <v>http://www.minipivovarkunc.cz</v>
      </c>
      <c r="K183" s="102" t="str">
        <f>HYPERLINK("https://www.facebook.com/minipivovarkunc","https://www.facebook.com/minipivovarkunc")</f>
        <v>https://www.facebook.com/minipivovarkunc</v>
      </c>
      <c r="L183" s="96" t="s">
        <v>1667</v>
      </c>
      <c r="M183" s="96"/>
      <c r="N183" s="96" t="s">
        <v>1669</v>
      </c>
      <c r="O183" s="96"/>
      <c r="P183" s="96" t="s">
        <v>7663</v>
      </c>
      <c r="Q183" s="96">
        <v>48.850405000000002</v>
      </c>
      <c r="R183" s="96">
        <v>17.127658</v>
      </c>
      <c r="S183" s="100" t="s">
        <v>52</v>
      </c>
      <c r="T183" s="103" t="s">
        <v>325</v>
      </c>
      <c r="U183" s="103" t="s">
        <v>819</v>
      </c>
      <c r="V183" s="103" t="s">
        <v>819</v>
      </c>
      <c r="W183" s="103" t="s">
        <v>819</v>
      </c>
    </row>
    <row r="184" spans="1:23" ht="15.75" customHeight="1">
      <c r="A184" s="96">
        <v>186</v>
      </c>
      <c r="B184" s="97" t="s">
        <v>27</v>
      </c>
      <c r="C184" s="96" t="s">
        <v>1671</v>
      </c>
      <c r="D184" s="96" t="s">
        <v>1672</v>
      </c>
      <c r="E184" s="96" t="s">
        <v>1673</v>
      </c>
      <c r="F184" s="96" t="s">
        <v>1674</v>
      </c>
      <c r="G184" s="99" t="s">
        <v>39</v>
      </c>
      <c r="H184" s="100" t="s">
        <v>60</v>
      </c>
      <c r="I184" s="101">
        <v>2009</v>
      </c>
      <c r="J184" s="102" t="str">
        <f>HYPERLINK("http://www.pivo-tambor.cz","http://www.pivo-tambor.cz")</f>
        <v>http://www.pivo-tambor.cz</v>
      </c>
      <c r="K184" s="102" t="str">
        <f>HYPERLINK("https://www.facebook.com/Pivovar-Tambor-272322416262078","https://www.facebook.com/Pivovar-Tambor-272322416262078")</f>
        <v>https://www.facebook.com/Pivovar-Tambor-272322416262078</v>
      </c>
      <c r="L184" s="96" t="s">
        <v>1675</v>
      </c>
      <c r="M184" s="96"/>
      <c r="N184" s="96" t="s">
        <v>1677</v>
      </c>
      <c r="O184" s="96"/>
      <c r="P184" s="96" t="s">
        <v>7664</v>
      </c>
      <c r="Q184" s="96">
        <v>50.419826</v>
      </c>
      <c r="R184" s="96">
        <v>15.809005000000001</v>
      </c>
      <c r="S184" s="100" t="s">
        <v>7447</v>
      </c>
      <c r="T184" s="103" t="s">
        <v>207</v>
      </c>
      <c r="U184" s="103" t="s">
        <v>586</v>
      </c>
      <c r="V184" s="103" t="s">
        <v>1673</v>
      </c>
      <c r="W184" s="103" t="s">
        <v>1673</v>
      </c>
    </row>
    <row r="185" spans="1:23" ht="15.75" customHeight="1">
      <c r="A185" s="96">
        <v>187</v>
      </c>
      <c r="B185" s="97" t="s">
        <v>27</v>
      </c>
      <c r="C185" s="96" t="s">
        <v>1680</v>
      </c>
      <c r="D185" s="96" t="s">
        <v>1681</v>
      </c>
      <c r="E185" s="96" t="s">
        <v>1680</v>
      </c>
      <c r="F185" s="96" t="s">
        <v>1682</v>
      </c>
      <c r="G185" s="99" t="s">
        <v>39</v>
      </c>
      <c r="H185" s="100" t="s">
        <v>40</v>
      </c>
      <c r="I185" s="101">
        <v>2005</v>
      </c>
      <c r="J185" s="102" t="str">
        <f>HYPERLINK("http://www.relaxvpodhuri.cz","http://www.relaxvpodhuri.cz")</f>
        <v>http://www.relaxvpodhuri.cz</v>
      </c>
      <c r="K185" s="96"/>
      <c r="L185" s="96" t="s">
        <v>1683</v>
      </c>
      <c r="M185" s="96"/>
      <c r="N185" s="96" t="s">
        <v>1684</v>
      </c>
      <c r="O185" s="96"/>
      <c r="P185" s="96" t="s">
        <v>7665</v>
      </c>
      <c r="Q185" s="96">
        <v>49.591071900000003</v>
      </c>
      <c r="R185" s="96">
        <v>18.1168525</v>
      </c>
      <c r="S185" s="100" t="s">
        <v>52</v>
      </c>
      <c r="T185" s="103" t="s">
        <v>121</v>
      </c>
      <c r="U185" s="103" t="s">
        <v>1902</v>
      </c>
      <c r="V185" s="103" t="s">
        <v>1903</v>
      </c>
      <c r="W185" s="103" t="s">
        <v>1680</v>
      </c>
    </row>
    <row r="186" spans="1:23" ht="15.75" customHeight="1">
      <c r="A186" s="96">
        <v>188</v>
      </c>
      <c r="B186" s="97" t="s">
        <v>27</v>
      </c>
      <c r="C186" s="96" t="s">
        <v>1686</v>
      </c>
      <c r="D186" s="96" t="s">
        <v>1687</v>
      </c>
      <c r="E186" s="96" t="s">
        <v>422</v>
      </c>
      <c r="F186" s="96" t="s">
        <v>1688</v>
      </c>
      <c r="G186" s="99" t="s">
        <v>39</v>
      </c>
      <c r="H186" s="100" t="s">
        <v>40</v>
      </c>
      <c r="I186" s="101">
        <v>2012</v>
      </c>
      <c r="J186" s="102" t="str">
        <f>HYPERLINK("http://www.pivovar-trebic.cz","http://www.pivovar-trebic.cz")</f>
        <v>http://www.pivovar-trebic.cz</v>
      </c>
      <c r="K186" s="102" t="str">
        <f>HYPERLINK("https://www.facebook.com/PivovarTrebic","https://www.facebook.com/PivovarTrebic")</f>
        <v>https://www.facebook.com/PivovarTrebic</v>
      </c>
      <c r="L186" s="96" t="s">
        <v>1689</v>
      </c>
      <c r="M186" s="96"/>
      <c r="N186" s="96" t="s">
        <v>1691</v>
      </c>
      <c r="O186" s="96"/>
      <c r="P186" s="96" t="s">
        <v>7666</v>
      </c>
      <c r="Q186" s="96">
        <v>49.217477000000002</v>
      </c>
      <c r="R186" s="96">
        <v>15.869711000000001</v>
      </c>
      <c r="S186" s="100" t="s">
        <v>52</v>
      </c>
      <c r="T186" s="103" t="s">
        <v>144</v>
      </c>
      <c r="U186" s="103" t="s">
        <v>422</v>
      </c>
      <c r="V186" s="103" t="s">
        <v>422</v>
      </c>
      <c r="W186" s="103" t="s">
        <v>422</v>
      </c>
    </row>
    <row r="187" spans="1:23" ht="15.75" customHeight="1">
      <c r="A187" s="96">
        <v>189</v>
      </c>
      <c r="B187" s="97" t="s">
        <v>27</v>
      </c>
      <c r="C187" s="96" t="s">
        <v>1693</v>
      </c>
      <c r="D187" s="96" t="s">
        <v>1694</v>
      </c>
      <c r="E187" s="96" t="s">
        <v>1695</v>
      </c>
      <c r="F187" s="96" t="s">
        <v>1696</v>
      </c>
      <c r="G187" s="99" t="s">
        <v>39</v>
      </c>
      <c r="H187" s="100" t="s">
        <v>60</v>
      </c>
      <c r="I187" s="101">
        <v>2010</v>
      </c>
      <c r="J187" s="102" t="str">
        <f>HYPERLINK("http://www.pivovartrebonice.com","http://www.pivovartrebonice.com")</f>
        <v>http://www.pivovartrebonice.com</v>
      </c>
      <c r="K187" s="102" t="str">
        <f>HYPERLINK("https://www.facebook.com/Rukodělný-Pivovárek-Třebonice-147161455309180","https://www.facebook.com/Rukodělný-Pivovárek-Třebonice-147161455309180")</f>
        <v>https://www.facebook.com/Rukodělný-Pivovárek-Třebonice-147161455309180</v>
      </c>
      <c r="L187" s="96" t="s">
        <v>1697</v>
      </c>
      <c r="M187" s="96"/>
      <c r="N187" s="96" t="s">
        <v>1699</v>
      </c>
      <c r="O187" s="96"/>
      <c r="P187" s="96" t="s">
        <v>7667</v>
      </c>
      <c r="Q187" s="96">
        <v>50.044238300000004</v>
      </c>
      <c r="R187" s="96">
        <v>14.2824147</v>
      </c>
      <c r="S187" s="100" t="s">
        <v>52</v>
      </c>
      <c r="T187" s="103" t="s">
        <v>58</v>
      </c>
      <c r="U187" s="103" t="s">
        <v>58</v>
      </c>
      <c r="V187" s="103" t="s">
        <v>58</v>
      </c>
      <c r="W187" s="103" t="s">
        <v>59</v>
      </c>
    </row>
    <row r="188" spans="1:23" ht="15.75" customHeight="1">
      <c r="A188" s="96">
        <v>190</v>
      </c>
      <c r="B188" s="97" t="s">
        <v>27</v>
      </c>
      <c r="C188" s="96" t="s">
        <v>1702</v>
      </c>
      <c r="D188" s="96" t="s">
        <v>1703</v>
      </c>
      <c r="E188" s="96" t="s">
        <v>1704</v>
      </c>
      <c r="F188" s="96" t="s">
        <v>1705</v>
      </c>
      <c r="G188" s="99" t="s">
        <v>39</v>
      </c>
      <c r="H188" s="100" t="s">
        <v>60</v>
      </c>
      <c r="I188" s="101">
        <v>2009</v>
      </c>
      <c r="J188" s="102" t="str">
        <f>HYPERLINK("http://www.minipivovarkarpentna.cz","http://www.minipivovarkarpentna.cz")</f>
        <v>http://www.minipivovarkarpentna.cz</v>
      </c>
      <c r="K188" s="102" t="str">
        <f>HYPERLINK("https://www.facebook.com/PivniceKarpentna","https://www.facebook.com/PivniceKarpentna")</f>
        <v>https://www.facebook.com/PivniceKarpentna</v>
      </c>
      <c r="L188" s="96" t="s">
        <v>1706</v>
      </c>
      <c r="M188" s="96"/>
      <c r="N188" s="96" t="s">
        <v>1708</v>
      </c>
      <c r="O188" s="96" t="s">
        <v>1710</v>
      </c>
      <c r="P188" s="96" t="s">
        <v>7668</v>
      </c>
      <c r="Q188" s="96">
        <v>49.6348109999999</v>
      </c>
      <c r="R188" s="96">
        <v>18.685721999999899</v>
      </c>
      <c r="S188" s="100" t="s">
        <v>52</v>
      </c>
      <c r="T188" s="103" t="s">
        <v>121</v>
      </c>
      <c r="U188" s="103" t="s">
        <v>259</v>
      </c>
      <c r="V188" s="103" t="s">
        <v>1937</v>
      </c>
      <c r="W188" s="103" t="s">
        <v>1937</v>
      </c>
    </row>
    <row r="189" spans="1:23" ht="15.75" customHeight="1">
      <c r="A189" s="96">
        <v>191</v>
      </c>
      <c r="B189" s="97" t="s">
        <v>27</v>
      </c>
      <c r="C189" s="96" t="s">
        <v>1712</v>
      </c>
      <c r="D189" s="96" t="s">
        <v>1713</v>
      </c>
      <c r="E189" s="96" t="s">
        <v>711</v>
      </c>
      <c r="F189" s="98" t="s">
        <v>1714</v>
      </c>
      <c r="G189" s="99" t="s">
        <v>39</v>
      </c>
      <c r="H189" s="100" t="s">
        <v>40</v>
      </c>
      <c r="I189" s="101">
        <v>2004</v>
      </c>
      <c r="J189" s="102" t="str">
        <f>HYPERLINK("http://www.umedvidku.cz","http://www.umedvidku.cz")</f>
        <v>http://www.umedvidku.cz</v>
      </c>
      <c r="K189" s="102" t="str">
        <f>HYPERLINK("https://www.facebook.com/umedvidku.cz","https://www.facebook.com/umedvidku.cz")</f>
        <v>https://www.facebook.com/umedvidku.cz</v>
      </c>
      <c r="L189" s="96" t="s">
        <v>1715</v>
      </c>
      <c r="M189" s="96"/>
      <c r="N189" s="96" t="s">
        <v>1717</v>
      </c>
      <c r="O189" s="96"/>
      <c r="P189" s="96" t="s">
        <v>7669</v>
      </c>
      <c r="Q189" s="96">
        <v>50.082865599999998</v>
      </c>
      <c r="R189" s="96">
        <v>14.418599199999999</v>
      </c>
      <c r="S189" s="100" t="s">
        <v>52</v>
      </c>
      <c r="T189" s="103" t="s">
        <v>58</v>
      </c>
      <c r="U189" s="103" t="s">
        <v>58</v>
      </c>
      <c r="V189" s="103" t="s">
        <v>58</v>
      </c>
      <c r="W189" s="103" t="s">
        <v>59</v>
      </c>
    </row>
    <row r="190" spans="1:23" ht="15.75" customHeight="1">
      <c r="A190" s="96">
        <v>192</v>
      </c>
      <c r="B190" s="97" t="s">
        <v>27</v>
      </c>
      <c r="C190" s="96" t="s">
        <v>1719</v>
      </c>
      <c r="D190" s="96" t="s">
        <v>1720</v>
      </c>
      <c r="E190" s="96" t="s">
        <v>622</v>
      </c>
      <c r="F190" s="96" t="s">
        <v>1721</v>
      </c>
      <c r="G190" s="99" t="s">
        <v>39</v>
      </c>
      <c r="H190" s="100" t="s">
        <v>40</v>
      </c>
      <c r="I190" s="101">
        <v>2011</v>
      </c>
      <c r="J190" s="102" t="str">
        <f>HYPERLINK("http://www.kolibautrikralu.cz","http://www.kolibautrikralu.cz")</f>
        <v>http://www.kolibautrikralu.cz</v>
      </c>
      <c r="K190" s="102" t="str">
        <f>HYPERLINK("https://www.facebook.com/Koliba-Pivovar-U-Tří-králů-171708206259773","https://www.facebook.com/Koliba-Pivovar-U-Tří-králů-171708206259773")</f>
        <v>https://www.facebook.com/Koliba-Pivovar-U-Tří-králů-171708206259773</v>
      </c>
      <c r="L190" s="96" t="s">
        <v>1722</v>
      </c>
      <c r="M190" s="96"/>
      <c r="N190" s="96" t="s">
        <v>1724</v>
      </c>
      <c r="O190" s="102" t="s">
        <v>1726</v>
      </c>
      <c r="P190" s="96" t="s">
        <v>7670</v>
      </c>
      <c r="Q190" s="96">
        <v>49.472006399999998</v>
      </c>
      <c r="R190" s="96">
        <v>17.088440599999998</v>
      </c>
      <c r="S190" s="100" t="s">
        <v>52</v>
      </c>
      <c r="T190" s="103" t="s">
        <v>312</v>
      </c>
      <c r="U190" s="103" t="s">
        <v>622</v>
      </c>
      <c r="V190" s="103" t="s">
        <v>622</v>
      </c>
      <c r="W190" s="103" t="s">
        <v>622</v>
      </c>
    </row>
    <row r="191" spans="1:23" ht="15.75" customHeight="1">
      <c r="A191" s="96">
        <v>193</v>
      </c>
      <c r="B191" s="97" t="s">
        <v>27</v>
      </c>
      <c r="C191" s="96" t="s">
        <v>1728</v>
      </c>
      <c r="D191" s="96" t="s">
        <v>1729</v>
      </c>
      <c r="E191" s="96" t="s">
        <v>711</v>
      </c>
      <c r="F191" s="96" t="s">
        <v>1730</v>
      </c>
      <c r="G191" s="99" t="s">
        <v>39</v>
      </c>
      <c r="H191" s="100" t="s">
        <v>40</v>
      </c>
      <c r="I191" s="101">
        <v>2012</v>
      </c>
      <c r="J191" s="102" t="str">
        <f>HYPERLINK("http://www.u3r.cz","http://www.u3r.cz")</f>
        <v>http://www.u3r.cz</v>
      </c>
      <c r="K191" s="102" t="str">
        <f>HYPERLINK("https://www.facebook.com/utrir","https://www.facebook.com/utrir")</f>
        <v>https://www.facebook.com/utrir</v>
      </c>
      <c r="L191" s="96" t="s">
        <v>1731</v>
      </c>
      <c r="M191" s="96"/>
      <c r="N191" s="96" t="s">
        <v>1733</v>
      </c>
      <c r="O191" s="96"/>
      <c r="P191" s="96" t="s">
        <v>7671</v>
      </c>
      <c r="Q191" s="96">
        <v>50.0856169999999</v>
      </c>
      <c r="R191" s="96">
        <v>14.418329</v>
      </c>
      <c r="S191" s="100" t="s">
        <v>7447</v>
      </c>
      <c r="T191" s="103" t="s">
        <v>58</v>
      </c>
      <c r="U191" s="103" t="s">
        <v>58</v>
      </c>
      <c r="V191" s="103" t="s">
        <v>58</v>
      </c>
      <c r="W191" s="103" t="s">
        <v>59</v>
      </c>
    </row>
    <row r="192" spans="1:23" ht="15.75" customHeight="1">
      <c r="A192" s="96">
        <v>194</v>
      </c>
      <c r="B192" s="97" t="s">
        <v>27</v>
      </c>
      <c r="C192" s="96" t="s">
        <v>1735</v>
      </c>
      <c r="D192" s="96" t="s">
        <v>1736</v>
      </c>
      <c r="E192" s="96" t="s">
        <v>1737</v>
      </c>
      <c r="F192" s="96" t="s">
        <v>1738</v>
      </c>
      <c r="G192" s="99" t="s">
        <v>39</v>
      </c>
      <c r="H192" s="100" t="s">
        <v>78</v>
      </c>
      <c r="I192" s="101">
        <v>2011</v>
      </c>
      <c r="J192" s="102" t="str">
        <f>HYPERLINK("http://www.unetickypivovar.cz","http://www.unetickypivovar.cz")</f>
        <v>http://www.unetickypivovar.cz</v>
      </c>
      <c r="K192" s="102" t="str">
        <f>HYPERLINK("https://www.facebook.com/Únětický-pivovar-186598138044813","https://www.facebook.com/Únětický-pivovar-186598138044813")</f>
        <v>https://www.facebook.com/Únětický-pivovar-186598138044813</v>
      </c>
      <c r="L192" s="96" t="s">
        <v>1739</v>
      </c>
      <c r="M192" s="96"/>
      <c r="N192" s="96" t="s">
        <v>1741</v>
      </c>
      <c r="O192" s="96"/>
      <c r="P192" s="96" t="s">
        <v>1742</v>
      </c>
      <c r="Q192" s="96">
        <v>50.148891399999997</v>
      </c>
      <c r="R192" s="96">
        <v>14.354330600000001</v>
      </c>
      <c r="S192" s="100" t="s">
        <v>7447</v>
      </c>
      <c r="T192" s="103" t="s">
        <v>71</v>
      </c>
      <c r="U192" s="103" t="s">
        <v>295</v>
      </c>
      <c r="V192" s="103" t="s">
        <v>296</v>
      </c>
      <c r="W192" s="103" t="s">
        <v>1737</v>
      </c>
    </row>
    <row r="193" spans="1:23" ht="15.75" customHeight="1">
      <c r="A193" s="96">
        <v>195</v>
      </c>
      <c r="B193" s="97" t="s">
        <v>27</v>
      </c>
      <c r="C193" s="96" t="s">
        <v>1743</v>
      </c>
      <c r="D193" s="96" t="s">
        <v>1744</v>
      </c>
      <c r="E193" s="96" t="s">
        <v>1745</v>
      </c>
      <c r="F193" s="96" t="s">
        <v>1746</v>
      </c>
      <c r="G193" s="99" t="s">
        <v>39</v>
      </c>
      <c r="H193" s="100" t="s">
        <v>89</v>
      </c>
      <c r="I193" s="101" t="s">
        <v>2001</v>
      </c>
      <c r="J193" s="96"/>
      <c r="K193" s="96" t="s">
        <v>1747</v>
      </c>
      <c r="L193" s="96" t="s">
        <v>1748</v>
      </c>
      <c r="M193" s="96"/>
      <c r="N193" s="96" t="s">
        <v>1749</v>
      </c>
      <c r="O193" s="96"/>
      <c r="P193" s="96" t="s">
        <v>7672</v>
      </c>
      <c r="Q193" s="101">
        <v>49.014139999999898</v>
      </c>
      <c r="R193" s="101">
        <v>16.780307000000001</v>
      </c>
      <c r="S193" s="100" t="s">
        <v>7447</v>
      </c>
      <c r="T193" s="103" t="s">
        <v>325</v>
      </c>
      <c r="U193" s="103" t="s">
        <v>256</v>
      </c>
      <c r="V193" s="103" t="s">
        <v>2007</v>
      </c>
      <c r="W193" s="103" t="s">
        <v>1745</v>
      </c>
    </row>
    <row r="194" spans="1:23" ht="15.75" customHeight="1">
      <c r="A194" s="96">
        <v>196</v>
      </c>
      <c r="B194" s="97" t="s">
        <v>27</v>
      </c>
      <c r="C194" s="96" t="s">
        <v>1751</v>
      </c>
      <c r="D194" s="96" t="s">
        <v>1752</v>
      </c>
      <c r="E194" s="96" t="s">
        <v>354</v>
      </c>
      <c r="F194" s="96" t="s">
        <v>1753</v>
      </c>
      <c r="G194" s="99" t="s">
        <v>39</v>
      </c>
      <c r="H194" s="100" t="s">
        <v>40</v>
      </c>
      <c r="I194" s="101">
        <v>2010</v>
      </c>
      <c r="J194" s="102" t="str">
        <f>HYPERLINK("http://www.pivovarnarychte.cz","http://www.pivovarnarychte.cz")</f>
        <v>http://www.pivovarnarychte.cz</v>
      </c>
      <c r="K194" s="102" t="str">
        <f>HYPERLINK("https://www.facebook.com/PivovarHotelNaRychte","https://www.facebook.com/PivovarHotelNaRychte")</f>
        <v>https://www.facebook.com/PivovarHotelNaRychte</v>
      </c>
      <c r="L194" s="96" t="s">
        <v>1754</v>
      </c>
      <c r="M194" s="96"/>
      <c r="N194" s="96" t="s">
        <v>1756</v>
      </c>
      <c r="O194" s="96" t="s">
        <v>1758</v>
      </c>
      <c r="P194" s="96" t="s">
        <v>7673</v>
      </c>
      <c r="Q194" s="96">
        <v>50.659697800000004</v>
      </c>
      <c r="R194" s="96">
        <v>14.041934700000001</v>
      </c>
      <c r="S194" s="100" t="s">
        <v>52</v>
      </c>
      <c r="T194" s="103" t="s">
        <v>353</v>
      </c>
      <c r="U194" s="103" t="s">
        <v>354</v>
      </c>
      <c r="V194" s="103" t="s">
        <v>354</v>
      </c>
      <c r="W194" s="103" t="s">
        <v>354</v>
      </c>
    </row>
    <row r="195" spans="1:23" ht="15.75" customHeight="1">
      <c r="A195" s="96">
        <v>197</v>
      </c>
      <c r="B195" s="97" t="s">
        <v>27</v>
      </c>
      <c r="C195" s="96" t="s">
        <v>1760</v>
      </c>
      <c r="D195" s="96" t="s">
        <v>1761</v>
      </c>
      <c r="E195" s="96" t="s">
        <v>287</v>
      </c>
      <c r="F195" s="96" t="s">
        <v>1762</v>
      </c>
      <c r="G195" s="99" t="s">
        <v>39</v>
      </c>
      <c r="H195" s="100" t="s">
        <v>40</v>
      </c>
      <c r="I195" s="101">
        <v>2002</v>
      </c>
      <c r="J195" s="102" t="str">
        <f>HYPERLINK("http://www.minipivovar.com","http://www.minipivovar.com")</f>
        <v>http://www.minipivovar.com</v>
      </c>
      <c r="K195" s="102" t="str">
        <f>HYPERLINK("https://www.facebook.com/minipivovarvalasek","https://www.facebook.com/minipivovarvalasek")</f>
        <v>https://www.facebook.com/minipivovarvalasek</v>
      </c>
      <c r="L195" s="96" t="s">
        <v>1763</v>
      </c>
      <c r="M195" s="96"/>
      <c r="N195" s="96" t="s">
        <v>1765</v>
      </c>
      <c r="O195" s="107" t="s">
        <v>2041</v>
      </c>
      <c r="P195" s="96" t="s">
        <v>7674</v>
      </c>
      <c r="Q195" s="96">
        <v>49.342520999999898</v>
      </c>
      <c r="R195" s="96">
        <v>17.993442000000002</v>
      </c>
      <c r="S195" s="100" t="s">
        <v>52</v>
      </c>
      <c r="T195" s="103" t="s">
        <v>97</v>
      </c>
      <c r="U195" s="103" t="s">
        <v>287</v>
      </c>
      <c r="V195" s="103" t="s">
        <v>287</v>
      </c>
      <c r="W195" s="103" t="s">
        <v>287</v>
      </c>
    </row>
    <row r="196" spans="1:23" ht="15.75" customHeight="1">
      <c r="A196" s="96">
        <v>198</v>
      </c>
      <c r="B196" s="97" t="s">
        <v>27</v>
      </c>
      <c r="C196" s="96" t="s">
        <v>1769</v>
      </c>
      <c r="D196" s="96" t="s">
        <v>1770</v>
      </c>
      <c r="E196" s="96" t="s">
        <v>1769</v>
      </c>
      <c r="F196" s="96" t="s">
        <v>1771</v>
      </c>
      <c r="G196" s="99" t="s">
        <v>39</v>
      </c>
      <c r="H196" s="100" t="s">
        <v>78</v>
      </c>
      <c r="I196" s="101">
        <v>1874</v>
      </c>
      <c r="J196" s="102" t="str">
        <f>HYPERLINK("http://pivovar.kozel.cz","http://pivovar.kozel.cz")</f>
        <v>http://pivovar.kozel.cz</v>
      </c>
      <c r="K196" s="102" t="str">
        <f>HYPERLINK("https://www.facebook.com/KozelCZ","https://www.facebook.com/KozelCZ")</f>
        <v>https://www.facebook.com/KozelCZ</v>
      </c>
      <c r="L196" s="96" t="s">
        <v>1772</v>
      </c>
      <c r="M196" s="96"/>
      <c r="N196" s="96" t="s">
        <v>1774</v>
      </c>
      <c r="O196" s="96"/>
      <c r="P196" s="96" t="s">
        <v>7675</v>
      </c>
      <c r="Q196" s="96">
        <v>49.924311400000001</v>
      </c>
      <c r="R196" s="96">
        <v>14.634780599999999</v>
      </c>
      <c r="S196" s="100" t="s">
        <v>7447</v>
      </c>
      <c r="T196" s="103" t="s">
        <v>71</v>
      </c>
      <c r="U196" s="103" t="s">
        <v>1075</v>
      </c>
      <c r="V196" s="103" t="s">
        <v>1077</v>
      </c>
      <c r="W196" s="103" t="s">
        <v>1769</v>
      </c>
    </row>
    <row r="197" spans="1:23" ht="15.75" customHeight="1">
      <c r="A197" s="96">
        <v>199</v>
      </c>
      <c r="B197" s="97" t="s">
        <v>27</v>
      </c>
      <c r="C197" s="96" t="s">
        <v>1776</v>
      </c>
      <c r="D197" s="96" t="s">
        <v>1777</v>
      </c>
      <c r="E197" s="96" t="s">
        <v>1778</v>
      </c>
      <c r="F197" s="96" t="s">
        <v>1779</v>
      </c>
      <c r="G197" s="99" t="s">
        <v>39</v>
      </c>
      <c r="H197" s="100" t="s">
        <v>60</v>
      </c>
      <c r="I197" s="101">
        <v>1999</v>
      </c>
      <c r="J197" s="102" t="str">
        <f>HYPERLINK("http://www.pivovarvendelin.cz","http://www.pivovarvendelin.cz")</f>
        <v>http://www.pivovarvendelin.cz</v>
      </c>
      <c r="K197" s="102" t="str">
        <f>HYPERLINK("https://www.facebook.com/pivovar.vendelin","https://www.facebook.com/pivovar.vendelin")</f>
        <v>https://www.facebook.com/pivovar.vendelin</v>
      </c>
      <c r="L197" s="96" t="s">
        <v>1780</v>
      </c>
      <c r="M197" s="96"/>
      <c r="N197" s="96" t="s">
        <v>1776</v>
      </c>
      <c r="O197" s="96"/>
      <c r="P197" s="96" t="s">
        <v>7676</v>
      </c>
      <c r="Q197" s="96">
        <v>50.760627999999897</v>
      </c>
      <c r="R197" s="96">
        <v>15.112506</v>
      </c>
      <c r="S197" s="100" t="s">
        <v>7447</v>
      </c>
      <c r="T197" s="103" t="s">
        <v>67</v>
      </c>
      <c r="U197" s="103" t="s">
        <v>68</v>
      </c>
      <c r="V197" s="103" t="s">
        <v>68</v>
      </c>
      <c r="W197" s="103" t="s">
        <v>68</v>
      </c>
    </row>
    <row r="198" spans="1:23" ht="15.75" customHeight="1">
      <c r="A198" s="96">
        <v>200</v>
      </c>
      <c r="B198" s="97" t="s">
        <v>27</v>
      </c>
      <c r="C198" s="96" t="s">
        <v>1783</v>
      </c>
      <c r="D198" s="96" t="s">
        <v>1784</v>
      </c>
      <c r="E198" s="96" t="s">
        <v>1785</v>
      </c>
      <c r="F198" s="96" t="s">
        <v>1786</v>
      </c>
      <c r="G198" s="99" t="s">
        <v>39</v>
      </c>
      <c r="H198" s="100" t="s">
        <v>40</v>
      </c>
      <c r="I198" s="101">
        <v>2012</v>
      </c>
      <c r="J198" s="102" t="str">
        <f>HYPERLINK("http://www.pivovarvictor.cz","http://www.pivovarvictor.cz")</f>
        <v>http://www.pivovarvictor.cz</v>
      </c>
      <c r="K198" s="96"/>
      <c r="L198" s="96" t="s">
        <v>1788</v>
      </c>
      <c r="M198" s="96"/>
      <c r="N198" s="96" t="s">
        <v>1783</v>
      </c>
      <c r="O198" s="96" t="s">
        <v>1790</v>
      </c>
      <c r="P198" s="96" t="s">
        <v>7677</v>
      </c>
      <c r="Q198" s="96">
        <v>50.086829000000002</v>
      </c>
      <c r="R198" s="96">
        <v>14.450104</v>
      </c>
      <c r="S198" s="100" t="s">
        <v>52</v>
      </c>
      <c r="T198" s="103" t="s">
        <v>58</v>
      </c>
      <c r="U198" s="103" t="s">
        <v>58</v>
      </c>
      <c r="V198" s="103" t="s">
        <v>58</v>
      </c>
      <c r="W198" s="103" t="s">
        <v>59</v>
      </c>
    </row>
    <row r="199" spans="1:23" ht="15.75" customHeight="1">
      <c r="A199" s="96">
        <v>201</v>
      </c>
      <c r="B199" s="97" t="s">
        <v>27</v>
      </c>
      <c r="C199" s="96" t="s">
        <v>1792</v>
      </c>
      <c r="D199" s="96" t="s">
        <v>1793</v>
      </c>
      <c r="E199" s="96" t="s">
        <v>1794</v>
      </c>
      <c r="F199" s="96" t="s">
        <v>1795</v>
      </c>
      <c r="G199" s="99" t="s">
        <v>39</v>
      </c>
      <c r="H199" s="100" t="s">
        <v>89</v>
      </c>
      <c r="I199" s="101" t="s">
        <v>2071</v>
      </c>
      <c r="J199" s="96"/>
      <c r="K199" s="96" t="s">
        <v>1796</v>
      </c>
      <c r="L199" s="96" t="s">
        <v>1797</v>
      </c>
      <c r="M199" s="96"/>
      <c r="N199" s="96" t="s">
        <v>1792</v>
      </c>
      <c r="O199" s="96"/>
      <c r="P199" s="96" t="s">
        <v>7678</v>
      </c>
      <c r="Q199" s="101">
        <v>50.156396999999899</v>
      </c>
      <c r="R199" s="101">
        <v>14.1898199999999</v>
      </c>
      <c r="S199" s="100" t="s">
        <v>7447</v>
      </c>
      <c r="T199" s="103" t="s">
        <v>71</v>
      </c>
      <c r="U199" s="103" t="s">
        <v>72</v>
      </c>
      <c r="V199" s="103" t="s">
        <v>72</v>
      </c>
      <c r="W199" s="103" t="s">
        <v>1794</v>
      </c>
    </row>
    <row r="200" spans="1:23" ht="15.75" customHeight="1">
      <c r="A200" s="96">
        <v>202</v>
      </c>
      <c r="B200" s="97" t="s">
        <v>27</v>
      </c>
      <c r="C200" s="96" t="s">
        <v>1800</v>
      </c>
      <c r="D200" s="96" t="s">
        <v>1801</v>
      </c>
      <c r="E200" s="96" t="s">
        <v>1802</v>
      </c>
      <c r="F200" s="96" t="s">
        <v>1803</v>
      </c>
      <c r="G200" s="99" t="s">
        <v>39</v>
      </c>
      <c r="H200" s="100" t="s">
        <v>40</v>
      </c>
      <c r="I200" s="101">
        <v>2012</v>
      </c>
      <c r="J200" s="102" t="str">
        <f>HYPERLINK("http://www.pivovar-vilem.cz","http://www.pivovar-vilem.cz")</f>
        <v>http://www.pivovar-vilem.cz</v>
      </c>
      <c r="K200" s="102" t="str">
        <f>HYPERLINK("https://www.facebook.com/pivovar.vilem","https://www.facebook.com/pivovar.vilem")</f>
        <v>https://www.facebook.com/pivovar.vilem</v>
      </c>
      <c r="L200" s="96" t="s">
        <v>1804</v>
      </c>
      <c r="M200" s="96"/>
      <c r="N200" s="96" t="s">
        <v>1806</v>
      </c>
      <c r="O200" s="96"/>
      <c r="P200" s="96" t="s">
        <v>7679</v>
      </c>
      <c r="Q200" s="96">
        <v>49.791116000000002</v>
      </c>
      <c r="R200" s="96">
        <v>13.977703</v>
      </c>
      <c r="S200" s="100" t="s">
        <v>7447</v>
      </c>
      <c r="T200" s="103" t="s">
        <v>71</v>
      </c>
      <c r="U200" s="103" t="s">
        <v>195</v>
      </c>
      <c r="V200" s="103" t="s">
        <v>195</v>
      </c>
      <c r="W200" s="103" t="s">
        <v>1802</v>
      </c>
    </row>
    <row r="201" spans="1:23" ht="15.75" customHeight="1">
      <c r="A201" s="96">
        <v>203</v>
      </c>
      <c r="B201" s="97" t="s">
        <v>27</v>
      </c>
      <c r="C201" s="96" t="s">
        <v>1809</v>
      </c>
      <c r="D201" s="96" t="s">
        <v>1810</v>
      </c>
      <c r="E201" s="96" t="s">
        <v>1811</v>
      </c>
      <c r="F201" s="96" t="s">
        <v>1812</v>
      </c>
      <c r="G201" s="99" t="s">
        <v>39</v>
      </c>
      <c r="H201" s="100" t="s">
        <v>40</v>
      </c>
      <c r="I201" s="101">
        <v>2013</v>
      </c>
      <c r="J201" s="102" t="str">
        <f>HYPERLINK("http://www.pivovarohrada.cz","http://www.pivovarohrada.cz")</f>
        <v>http://www.pivovarohrada.cz</v>
      </c>
      <c r="K201" s="102" t="str">
        <f>HYPERLINK("https://www.facebook.com/PivovarOhrada","https://www.facebook.com/PivovarOhrada")</f>
        <v>https://www.facebook.com/PivovarOhrada</v>
      </c>
      <c r="L201" s="96" t="s">
        <v>1813</v>
      </c>
      <c r="M201" s="96"/>
      <c r="N201" s="96" t="s">
        <v>1815</v>
      </c>
      <c r="O201" s="96"/>
      <c r="P201" s="96" t="s">
        <v>7680</v>
      </c>
      <c r="Q201" s="96">
        <v>49.5333469999999</v>
      </c>
      <c r="R201" s="96">
        <v>16.625267000000001</v>
      </c>
      <c r="S201" s="100" t="s">
        <v>52</v>
      </c>
      <c r="T201" s="103" t="s">
        <v>325</v>
      </c>
      <c r="U201" s="103" t="s">
        <v>379</v>
      </c>
      <c r="V201" s="103" t="s">
        <v>2091</v>
      </c>
      <c r="W201" s="103" t="s">
        <v>2093</v>
      </c>
    </row>
    <row r="202" spans="1:23" ht="15.75" customHeight="1">
      <c r="A202" s="96">
        <v>204</v>
      </c>
      <c r="B202" s="97" t="s">
        <v>27</v>
      </c>
      <c r="C202" s="96" t="s">
        <v>1817</v>
      </c>
      <c r="D202" s="96" t="s">
        <v>1818</v>
      </c>
      <c r="E202" s="96" t="s">
        <v>1819</v>
      </c>
      <c r="F202" s="96" t="s">
        <v>1820</v>
      </c>
      <c r="G202" s="99" t="s">
        <v>39</v>
      </c>
      <c r="H202" s="100" t="s">
        <v>40</v>
      </c>
      <c r="I202" s="101">
        <v>2010</v>
      </c>
      <c r="J202" s="102" t="str">
        <f>HYPERLINK("http://www.vitekzprcice.cz","http://www.vitekzprcice.cz")</f>
        <v>http://www.vitekzprcice.cz</v>
      </c>
      <c r="K202" s="102" t="str">
        <f>HYPERLINK("https://www.facebook.com/VitekzPrcicecz","https://www.facebook.com/VitekzPrcicecz")</f>
        <v>https://www.facebook.com/VitekzPrcicecz</v>
      </c>
      <c r="L202" s="96" t="s">
        <v>1821</v>
      </c>
      <c r="M202" s="96"/>
      <c r="N202" s="96" t="s">
        <v>1817</v>
      </c>
      <c r="O202" s="96"/>
      <c r="P202" s="96" t="s">
        <v>7681</v>
      </c>
      <c r="Q202" s="96">
        <v>49.574199</v>
      </c>
      <c r="R202" s="96">
        <v>14.528612000000001</v>
      </c>
      <c r="S202" s="100" t="s">
        <v>7447</v>
      </c>
      <c r="T202" s="103" t="s">
        <v>71</v>
      </c>
      <c r="U202" s="103" t="s">
        <v>195</v>
      </c>
      <c r="V202" s="103" t="s">
        <v>1040</v>
      </c>
      <c r="W202" s="103" t="s">
        <v>1819</v>
      </c>
    </row>
    <row r="203" spans="1:23" ht="15.75" customHeight="1">
      <c r="A203" s="96">
        <v>205</v>
      </c>
      <c r="B203" s="97" t="s">
        <v>27</v>
      </c>
      <c r="C203" s="96" t="s">
        <v>1824</v>
      </c>
      <c r="D203" s="96" t="s">
        <v>1825</v>
      </c>
      <c r="E203" s="96" t="s">
        <v>1826</v>
      </c>
      <c r="F203" s="96" t="s">
        <v>1827</v>
      </c>
      <c r="G203" s="99" t="s">
        <v>39</v>
      </c>
      <c r="H203" s="100" t="s">
        <v>40</v>
      </c>
      <c r="I203" s="101">
        <v>2013</v>
      </c>
      <c r="J203" s="102" t="str">
        <f>HYPERLINK("http://www.zamecky-dvur.cz","http://www.zamecky-dvur.cz")</f>
        <v>http://www.zamecky-dvur.cz</v>
      </c>
      <c r="K203" s="107" t="s">
        <v>2105</v>
      </c>
      <c r="L203" s="96" t="s">
        <v>1828</v>
      </c>
      <c r="M203" s="96"/>
      <c r="N203" s="96" t="s">
        <v>1824</v>
      </c>
      <c r="O203" s="102" t="s">
        <v>1831</v>
      </c>
      <c r="P203" s="96" t="s">
        <v>7682</v>
      </c>
      <c r="Q203" s="96">
        <v>49.873167500000001</v>
      </c>
      <c r="R203" s="96">
        <v>14.110973100000001</v>
      </c>
      <c r="S203" s="100" t="s">
        <v>52</v>
      </c>
      <c r="T203" s="103" t="s">
        <v>71</v>
      </c>
      <c r="U203" s="103" t="s">
        <v>183</v>
      </c>
      <c r="V203" s="103" t="s">
        <v>183</v>
      </c>
      <c r="W203" s="103" t="s">
        <v>1826</v>
      </c>
    </row>
    <row r="204" spans="1:23" ht="15.75" customHeight="1">
      <c r="A204" s="96">
        <v>206</v>
      </c>
      <c r="B204" s="97" t="s">
        <v>27</v>
      </c>
      <c r="C204" s="96" t="s">
        <v>1833</v>
      </c>
      <c r="D204" s="96" t="s">
        <v>1834</v>
      </c>
      <c r="E204" s="96" t="s">
        <v>1835</v>
      </c>
      <c r="F204" s="96" t="s">
        <v>1836</v>
      </c>
      <c r="G204" s="99" t="s">
        <v>39</v>
      </c>
      <c r="H204" s="100" t="s">
        <v>69</v>
      </c>
      <c r="I204" s="101" t="s">
        <v>1837</v>
      </c>
      <c r="J204" s="102" t="str">
        <f>HYPERLINK("http://pivoxaver.eu","http://pivoxaver.eu")</f>
        <v>http://pivoxaver.eu</v>
      </c>
      <c r="K204" s="96"/>
      <c r="L204" s="96" t="s">
        <v>1839</v>
      </c>
      <c r="M204" s="96"/>
      <c r="N204" s="96" t="s">
        <v>1841</v>
      </c>
      <c r="O204" s="96"/>
      <c r="P204" s="96" t="s">
        <v>7683</v>
      </c>
      <c r="Q204" s="96">
        <v>49.056182</v>
      </c>
      <c r="R204" s="96">
        <v>16.6500489999999</v>
      </c>
      <c r="S204" s="100" t="s">
        <v>7447</v>
      </c>
      <c r="T204" s="103" t="s">
        <v>325</v>
      </c>
      <c r="U204" s="103" t="s">
        <v>952</v>
      </c>
      <c r="V204" s="103" t="s">
        <v>2114</v>
      </c>
      <c r="W204" s="103" t="s">
        <v>1835</v>
      </c>
    </row>
    <row r="205" spans="1:23" ht="15.75" customHeight="1">
      <c r="A205" s="96">
        <v>207</v>
      </c>
      <c r="B205" s="97" t="s">
        <v>27</v>
      </c>
      <c r="C205" s="96" t="s">
        <v>1843</v>
      </c>
      <c r="D205" s="96" t="s">
        <v>1844</v>
      </c>
      <c r="E205" s="96" t="s">
        <v>1843</v>
      </c>
      <c r="F205" s="96" t="s">
        <v>1845</v>
      </c>
      <c r="G205" s="99" t="s">
        <v>39</v>
      </c>
      <c r="H205" s="100" t="s">
        <v>60</v>
      </c>
      <c r="I205" s="101">
        <v>2012</v>
      </c>
      <c r="J205" s="102" t="str">
        <f>HYPERLINK("http://www.pivovarbratcice.cz","http://www.pivovarbratcice.cz")</f>
        <v>http://www.pivovarbratcice.cz</v>
      </c>
      <c r="K205" s="102" t="str">
        <f>HYPERLINK("https://www.facebook.com/pivovarbratcice","https://www.facebook.com/pivovarbratcice")</f>
        <v>https://www.facebook.com/pivovarbratcice</v>
      </c>
      <c r="L205" s="96" t="s">
        <v>1846</v>
      </c>
      <c r="M205" s="96" t="s">
        <v>1848</v>
      </c>
      <c r="N205" s="96" t="s">
        <v>1849</v>
      </c>
      <c r="O205" s="102" t="s">
        <v>1850</v>
      </c>
      <c r="P205" s="96" t="s">
        <v>1851</v>
      </c>
      <c r="Q205" s="96">
        <v>49.063057800000003</v>
      </c>
      <c r="R205" s="96">
        <v>16.516602800000001</v>
      </c>
      <c r="S205" s="100" t="s">
        <v>52</v>
      </c>
      <c r="T205" s="103" t="s">
        <v>325</v>
      </c>
      <c r="U205" s="103" t="s">
        <v>952</v>
      </c>
      <c r="V205" s="103" t="s">
        <v>2114</v>
      </c>
      <c r="W205" s="103" t="s">
        <v>1843</v>
      </c>
    </row>
    <row r="206" spans="1:23" ht="15.75" customHeight="1">
      <c r="A206" s="96">
        <v>208</v>
      </c>
      <c r="B206" s="97" t="s">
        <v>27</v>
      </c>
      <c r="C206" s="96" t="s">
        <v>1852</v>
      </c>
      <c r="D206" s="96" t="s">
        <v>1853</v>
      </c>
      <c r="E206" s="96" t="s">
        <v>1854</v>
      </c>
      <c r="F206" s="96" t="s">
        <v>1855</v>
      </c>
      <c r="G206" s="99" t="s">
        <v>39</v>
      </c>
      <c r="H206" s="100" t="s">
        <v>89</v>
      </c>
      <c r="I206" s="101" t="s">
        <v>2127</v>
      </c>
      <c r="J206" s="96"/>
      <c r="K206" s="96"/>
      <c r="L206" s="96" t="s">
        <v>1856</v>
      </c>
      <c r="M206" s="96"/>
      <c r="N206" s="96" t="s">
        <v>1858</v>
      </c>
      <c r="O206" s="96"/>
      <c r="P206" s="96" t="s">
        <v>7684</v>
      </c>
      <c r="Q206" s="101">
        <v>49.751556000000001</v>
      </c>
      <c r="R206" s="101">
        <v>13.005718</v>
      </c>
      <c r="S206" s="100" t="s">
        <v>7447</v>
      </c>
      <c r="T206" s="103" t="s">
        <v>217</v>
      </c>
      <c r="U206" s="103" t="s">
        <v>647</v>
      </c>
      <c r="V206" s="103" t="s">
        <v>1854</v>
      </c>
      <c r="W206" s="103" t="s">
        <v>1854</v>
      </c>
    </row>
    <row r="207" spans="1:23" ht="15.75" customHeight="1">
      <c r="A207" s="96">
        <v>209</v>
      </c>
      <c r="B207" s="97" t="s">
        <v>27</v>
      </c>
      <c r="C207" s="96" t="s">
        <v>1860</v>
      </c>
      <c r="D207" s="96" t="s">
        <v>1861</v>
      </c>
      <c r="E207" s="96" t="s">
        <v>1860</v>
      </c>
      <c r="F207" s="96" t="s">
        <v>1862</v>
      </c>
      <c r="G207" s="99" t="s">
        <v>39</v>
      </c>
      <c r="H207" s="100" t="s">
        <v>40</v>
      </c>
      <c r="I207" s="101">
        <v>2012</v>
      </c>
      <c r="J207" s="102" t="str">
        <f>HYPERLINK("http://www.pivovarzichovec.cz","http://www.pivovarzichovec.cz")</f>
        <v>http://www.pivovarzichovec.cz</v>
      </c>
      <c r="K207" s="102" t="str">
        <f>HYPERLINK("https://www.facebook.com/pivovarzichovec","https://www.facebook.com/pivovarzichovec")</f>
        <v>https://www.facebook.com/pivovarzichovec</v>
      </c>
      <c r="L207" s="96" t="s">
        <v>1863</v>
      </c>
      <c r="M207" s="96"/>
      <c r="N207" s="96" t="s">
        <v>1865</v>
      </c>
      <c r="O207" s="96"/>
      <c r="P207" s="96" t="s">
        <v>7685</v>
      </c>
      <c r="Q207" s="96">
        <v>50.272544199999999</v>
      </c>
      <c r="R207" s="96">
        <v>13.925833300000001</v>
      </c>
      <c r="S207" s="100" t="s">
        <v>52</v>
      </c>
      <c r="T207" s="103" t="s">
        <v>71</v>
      </c>
      <c r="U207" s="103" t="s">
        <v>72</v>
      </c>
      <c r="V207" s="103" t="s">
        <v>55</v>
      </c>
      <c r="W207" s="103" t="s">
        <v>1860</v>
      </c>
    </row>
    <row r="208" spans="1:23" ht="15.75" customHeight="1">
      <c r="A208" s="96">
        <v>210</v>
      </c>
      <c r="B208" s="97" t="s">
        <v>27</v>
      </c>
      <c r="C208" s="96" t="s">
        <v>1867</v>
      </c>
      <c r="D208" s="96" t="s">
        <v>1868</v>
      </c>
      <c r="E208" s="96" t="s">
        <v>1869</v>
      </c>
      <c r="F208" s="96" t="s">
        <v>1870</v>
      </c>
      <c r="G208" s="99" t="s">
        <v>39</v>
      </c>
      <c r="H208" s="100" t="s">
        <v>40</v>
      </c>
      <c r="I208" s="101">
        <v>1994</v>
      </c>
      <c r="J208" s="102" t="str">
        <f>HYPERLINK("http://www.pivovar-zvikov.cz","http://www.pivovar-zvikov.cz")</f>
        <v>http://www.pivovar-zvikov.cz</v>
      </c>
      <c r="K208" s="96"/>
      <c r="L208" s="96" t="s">
        <v>1871</v>
      </c>
      <c r="M208" s="96"/>
      <c r="N208" s="96" t="s">
        <v>1873</v>
      </c>
      <c r="O208" s="96"/>
      <c r="P208" s="96" t="s">
        <v>7686</v>
      </c>
      <c r="Q208" s="96">
        <v>49.4308049999999</v>
      </c>
      <c r="R208" s="96">
        <v>14.1982979999999</v>
      </c>
      <c r="S208" s="100" t="s">
        <v>52</v>
      </c>
      <c r="T208" s="103" t="s">
        <v>369</v>
      </c>
      <c r="U208" s="103" t="s">
        <v>1346</v>
      </c>
      <c r="V208" s="103" t="s">
        <v>1346</v>
      </c>
      <c r="W208" s="103" t="s">
        <v>1869</v>
      </c>
    </row>
    <row r="209" spans="1:23" ht="15.75" customHeight="1">
      <c r="A209" s="96">
        <v>211</v>
      </c>
      <c r="B209" s="97" t="s">
        <v>27</v>
      </c>
      <c r="C209" s="96" t="s">
        <v>1875</v>
      </c>
      <c r="D209" s="96" t="s">
        <v>1876</v>
      </c>
      <c r="E209" s="96" t="s">
        <v>1877</v>
      </c>
      <c r="F209" s="96" t="s">
        <v>1878</v>
      </c>
      <c r="G209" s="99" t="s">
        <v>39</v>
      </c>
      <c r="H209" s="100" t="s">
        <v>69</v>
      </c>
      <c r="I209" s="101">
        <v>2013</v>
      </c>
      <c r="J209" s="102" t="str">
        <f>HYPERLINK("https://www.minipivovarudyje.cz","https://www.minipivovarudyje.cz")</f>
        <v>https://www.minipivovarudyje.cz</v>
      </c>
      <c r="K209" s="96"/>
      <c r="L209" s="96" t="s">
        <v>1879</v>
      </c>
      <c r="M209" s="96"/>
      <c r="N209" s="96" t="s">
        <v>1881</v>
      </c>
      <c r="O209" s="96"/>
      <c r="P209" s="96" t="s">
        <v>7687</v>
      </c>
      <c r="Q209" s="96">
        <v>48.835554000000002</v>
      </c>
      <c r="R209" s="96">
        <v>16.056128999999899</v>
      </c>
      <c r="S209" s="100" t="s">
        <v>7447</v>
      </c>
      <c r="T209" s="103" t="s">
        <v>325</v>
      </c>
      <c r="U209" s="103" t="s">
        <v>555</v>
      </c>
      <c r="V209" s="103" t="s">
        <v>555</v>
      </c>
      <c r="W209" s="103" t="s">
        <v>2143</v>
      </c>
    </row>
    <row r="210" spans="1:23" ht="15.75" customHeight="1">
      <c r="A210" s="96">
        <v>212</v>
      </c>
      <c r="B210" s="97" t="s">
        <v>27</v>
      </c>
      <c r="C210" s="96" t="s">
        <v>1883</v>
      </c>
      <c r="D210" s="96" t="s">
        <v>1884</v>
      </c>
      <c r="E210" s="96" t="s">
        <v>1885</v>
      </c>
      <c r="F210" s="96" t="s">
        <v>1886</v>
      </c>
      <c r="G210" s="99" t="s">
        <v>39</v>
      </c>
      <c r="H210" s="100" t="s">
        <v>40</v>
      </c>
      <c r="I210" s="101">
        <v>2012</v>
      </c>
      <c r="J210" s="102" t="str">
        <f>HYPERLINK("http://www.uzlatehosrnce.cz","http://www.uzlatehosrnce.cz")</f>
        <v>http://www.uzlatehosrnce.cz</v>
      </c>
      <c r="K210" s="96"/>
      <c r="L210" s="96" t="s">
        <v>1887</v>
      </c>
      <c r="M210" s="96"/>
      <c r="N210" s="96" t="s">
        <v>1889</v>
      </c>
      <c r="O210" s="96"/>
      <c r="P210" s="96" t="s">
        <v>7688</v>
      </c>
      <c r="Q210" s="96">
        <v>49.084541000000002</v>
      </c>
      <c r="R210" s="96">
        <v>13.4646589999999</v>
      </c>
      <c r="S210" s="100" t="s">
        <v>7447</v>
      </c>
      <c r="T210" s="103" t="s">
        <v>217</v>
      </c>
      <c r="U210" s="103" t="s">
        <v>218</v>
      </c>
      <c r="V210" s="103" t="s">
        <v>2148</v>
      </c>
      <c r="W210" s="103" t="s">
        <v>1885</v>
      </c>
    </row>
    <row r="211" spans="1:23" ht="15.75" customHeight="1">
      <c r="A211" s="96">
        <v>213</v>
      </c>
      <c r="B211" s="97" t="s">
        <v>27</v>
      </c>
      <c r="C211" s="96" t="s">
        <v>1892</v>
      </c>
      <c r="D211" s="96" t="s">
        <v>1893</v>
      </c>
      <c r="E211" s="96" t="s">
        <v>1894</v>
      </c>
      <c r="F211" s="96" t="s">
        <v>1895</v>
      </c>
      <c r="G211" s="99" t="s">
        <v>39</v>
      </c>
      <c r="H211" s="100" t="s">
        <v>60</v>
      </c>
      <c r="I211" s="101">
        <v>2008</v>
      </c>
      <c r="J211" s="102" t="str">
        <f>HYPERLINK("http://zlinskysvec.cz","http://zlinskysvec.cz")</f>
        <v>http://zlinskysvec.cz</v>
      </c>
      <c r="K211" s="102" t="s">
        <v>1896</v>
      </c>
      <c r="L211" s="96" t="s">
        <v>1897</v>
      </c>
      <c r="M211" s="96" t="s">
        <v>1898</v>
      </c>
      <c r="N211" s="96" t="s">
        <v>1899</v>
      </c>
      <c r="O211" s="102" t="s">
        <v>1900</v>
      </c>
      <c r="P211" s="96" t="s">
        <v>7689</v>
      </c>
      <c r="Q211" s="96">
        <v>49.205609000000003</v>
      </c>
      <c r="R211" s="96">
        <v>17.597145000000001</v>
      </c>
      <c r="S211" s="100" t="s">
        <v>52</v>
      </c>
      <c r="T211" s="103" t="s">
        <v>97</v>
      </c>
      <c r="U211" s="103" t="s">
        <v>2156</v>
      </c>
      <c r="V211" s="103" t="s">
        <v>2156</v>
      </c>
      <c r="W211" s="103" t="s">
        <v>2156</v>
      </c>
    </row>
    <row r="212" spans="1:23" ht="15.75" customHeight="1">
      <c r="A212" s="96">
        <v>214</v>
      </c>
      <c r="B212" s="97" t="s">
        <v>27</v>
      </c>
      <c r="C212" s="96" t="s">
        <v>1904</v>
      </c>
      <c r="D212" s="96" t="s">
        <v>1905</v>
      </c>
      <c r="E212" s="96" t="s">
        <v>1906</v>
      </c>
      <c r="F212" s="96" t="s">
        <v>1907</v>
      </c>
      <c r="G212" s="99" t="s">
        <v>39</v>
      </c>
      <c r="H212" s="100" t="s">
        <v>40</v>
      </c>
      <c r="I212" s="101">
        <v>2012</v>
      </c>
      <c r="J212" s="102" t="str">
        <f>HYPERLINK("http://www.hoteluholubu.cz","http://www.hoteluholubu.cz")</f>
        <v>http://www.hoteluholubu.cz</v>
      </c>
      <c r="K212" s="102" t="str">
        <f>HYPERLINK("https://www.facebook.com/minipivovarzobak","https://www.facebook.com/minipivovarzobak")</f>
        <v>https://www.facebook.com/minipivovarzobak</v>
      </c>
      <c r="L212" s="96" t="s">
        <v>1908</v>
      </c>
      <c r="M212" s="96"/>
      <c r="N212" s="96" t="s">
        <v>1904</v>
      </c>
      <c r="O212" s="102" t="s">
        <v>1911</v>
      </c>
      <c r="P212" s="96" t="s">
        <v>7690</v>
      </c>
      <c r="Q212" s="96">
        <v>49.760016</v>
      </c>
      <c r="R212" s="96">
        <v>18.019853000000001</v>
      </c>
      <c r="S212" s="100" t="s">
        <v>52</v>
      </c>
      <c r="T212" s="103" t="s">
        <v>121</v>
      </c>
      <c r="U212" s="103" t="s">
        <v>1902</v>
      </c>
      <c r="V212" s="103" t="s">
        <v>1906</v>
      </c>
      <c r="W212" s="103" t="s">
        <v>1906</v>
      </c>
    </row>
    <row r="213" spans="1:23" ht="15.75" customHeight="1">
      <c r="A213" s="96">
        <v>215</v>
      </c>
      <c r="B213" s="97" t="s">
        <v>27</v>
      </c>
      <c r="C213" s="96" t="s">
        <v>1913</v>
      </c>
      <c r="D213" s="96" t="s">
        <v>1914</v>
      </c>
      <c r="E213" s="96" t="s">
        <v>1153</v>
      </c>
      <c r="F213" s="96" t="s">
        <v>1915</v>
      </c>
      <c r="G213" s="99" t="s">
        <v>39</v>
      </c>
      <c r="H213" s="100" t="s">
        <v>78</v>
      </c>
      <c r="I213" s="101">
        <v>1872</v>
      </c>
      <c r="J213" s="102" t="str">
        <f>HYPERLINK("http://www.zubr.cz","http://www.zubr.cz")</f>
        <v>http://www.zubr.cz</v>
      </c>
      <c r="K213" s="102" t="str">
        <f>HYPERLINK("https://www.facebook.com/PivovarZubr","https://www.facebook.com/PivovarZubr")</f>
        <v>https://www.facebook.com/PivovarZubr</v>
      </c>
      <c r="L213" s="96" t="s">
        <v>1916</v>
      </c>
      <c r="M213" s="96"/>
      <c r="N213" s="96" t="s">
        <v>1918</v>
      </c>
      <c r="O213" s="96"/>
      <c r="P213" s="96" t="s">
        <v>7691</v>
      </c>
      <c r="Q213" s="96">
        <v>49.450297999999897</v>
      </c>
      <c r="R213" s="96">
        <v>17.4476669999999</v>
      </c>
      <c r="S213" s="100" t="s">
        <v>7447</v>
      </c>
      <c r="T213" s="103" t="s">
        <v>312</v>
      </c>
      <c r="U213" s="103" t="s">
        <v>1153</v>
      </c>
      <c r="V213" s="103" t="s">
        <v>1153</v>
      </c>
      <c r="W213" s="103" t="s">
        <v>1153</v>
      </c>
    </row>
    <row r="214" spans="1:23" ht="15.75" customHeight="1">
      <c r="A214" s="96">
        <v>216</v>
      </c>
      <c r="B214" s="97" t="s">
        <v>27</v>
      </c>
      <c r="C214" s="96" t="s">
        <v>1920</v>
      </c>
      <c r="D214" s="96" t="s">
        <v>1921</v>
      </c>
      <c r="E214" s="96" t="s">
        <v>1920</v>
      </c>
      <c r="F214" s="96" t="s">
        <v>1922</v>
      </c>
      <c r="G214" s="99" t="s">
        <v>39</v>
      </c>
      <c r="H214" s="100" t="s">
        <v>40</v>
      </c>
      <c r="I214" s="101">
        <v>1997</v>
      </c>
      <c r="J214" s="102" t="str">
        <f>HYPERLINK("http://pivovarzamberk.cz","http://pivovarzamberk.cz")</f>
        <v>http://pivovarzamberk.cz</v>
      </c>
      <c r="K214" s="102" t="str">
        <f>HYPERLINK("https://www.facebook.com/zamberecky.kanec","https://www.facebook.com/zamberecky.kanec")</f>
        <v>https://www.facebook.com/zamberecky.kanec</v>
      </c>
      <c r="L214" s="96" t="s">
        <v>1923</v>
      </c>
      <c r="M214" s="96"/>
      <c r="N214" s="96" t="s">
        <v>1925</v>
      </c>
      <c r="O214" s="102" t="s">
        <v>1926</v>
      </c>
      <c r="P214" s="96" t="s">
        <v>7692</v>
      </c>
      <c r="Q214" s="96">
        <v>50.0871061</v>
      </c>
      <c r="R214" s="96">
        <v>16.4607931</v>
      </c>
      <c r="S214" s="100" t="s">
        <v>52</v>
      </c>
      <c r="T214" s="103" t="s">
        <v>483</v>
      </c>
      <c r="U214" s="103" t="s">
        <v>484</v>
      </c>
      <c r="V214" s="103" t="s">
        <v>1920</v>
      </c>
      <c r="W214" s="103" t="s">
        <v>1920</v>
      </c>
    </row>
    <row r="215" spans="1:23" ht="15.75" customHeight="1">
      <c r="A215" s="96">
        <v>217</v>
      </c>
      <c r="B215" s="97" t="s">
        <v>27</v>
      </c>
      <c r="C215" s="96" t="s">
        <v>1928</v>
      </c>
      <c r="D215" s="96" t="s">
        <v>1929</v>
      </c>
      <c r="E215" s="96" t="s">
        <v>1930</v>
      </c>
      <c r="F215" s="96" t="s">
        <v>1931</v>
      </c>
      <c r="G215" s="99" t="s">
        <v>39</v>
      </c>
      <c r="H215" s="100" t="s">
        <v>78</v>
      </c>
      <c r="I215" s="101">
        <v>1801</v>
      </c>
      <c r="J215" s="102" t="str">
        <f>HYPERLINK("http://www.zateckypivovar.cz","http://www.zateckypivovar.cz")</f>
        <v>http://www.zateckypivovar.cz</v>
      </c>
      <c r="K215" s="102" t="str">
        <f>HYPERLINK("https://www.facebook.com/Pivovarzatec","https://www.facebook.com/Pivovarzatec")</f>
        <v>https://www.facebook.com/Pivovarzatec</v>
      </c>
      <c r="L215" s="96" t="s">
        <v>1932</v>
      </c>
      <c r="M215" s="96"/>
      <c r="N215" s="96" t="s">
        <v>1935</v>
      </c>
      <c r="O215" s="96"/>
      <c r="P215" s="96" t="s">
        <v>7693</v>
      </c>
      <c r="Q215" s="96">
        <v>50.332239000000001</v>
      </c>
      <c r="R215" s="96">
        <v>13.541847000000001</v>
      </c>
      <c r="S215" s="100" t="s">
        <v>52</v>
      </c>
      <c r="T215" s="103" t="s">
        <v>353</v>
      </c>
      <c r="U215" s="103" t="s">
        <v>1023</v>
      </c>
      <c r="V215" s="103" t="s">
        <v>1930</v>
      </c>
      <c r="W215" s="103" t="s">
        <v>1930</v>
      </c>
    </row>
    <row r="216" spans="1:23" ht="15.75" customHeight="1">
      <c r="A216" s="96">
        <v>218</v>
      </c>
      <c r="B216" s="97" t="s">
        <v>27</v>
      </c>
      <c r="C216" s="96" t="s">
        <v>1938</v>
      </c>
      <c r="D216" s="96" t="s">
        <v>1939</v>
      </c>
      <c r="E216" s="96" t="s">
        <v>1930</v>
      </c>
      <c r="F216" s="96" t="s">
        <v>1940</v>
      </c>
      <c r="G216" s="99" t="s">
        <v>39</v>
      </c>
      <c r="H216" s="100" t="s">
        <v>40</v>
      </c>
      <c r="I216" s="101">
        <v>2010</v>
      </c>
      <c r="J216" s="102" t="str">
        <f>HYPERLINK("http://chchp.cz","http://chchp.cz")</f>
        <v>http://chchp.cz</v>
      </c>
      <c r="K216" s="102" t="str">
        <f>HYPERLINK("https://www.facebook.com/minipivovaruorloje","https://www.facebook.com/minipivovaruorloje")</f>
        <v>https://www.facebook.com/minipivovaruorloje</v>
      </c>
      <c r="L216" s="96" t="s">
        <v>1941</v>
      </c>
      <c r="M216" s="96"/>
      <c r="N216" s="96" t="s">
        <v>1943</v>
      </c>
      <c r="O216" s="96"/>
      <c r="P216" s="96" t="s">
        <v>7694</v>
      </c>
      <c r="Q216" s="96">
        <v>50.324610300000003</v>
      </c>
      <c r="R216" s="96">
        <v>13.5447297</v>
      </c>
      <c r="S216" s="100" t="s">
        <v>52</v>
      </c>
      <c r="T216" s="103" t="s">
        <v>353</v>
      </c>
      <c r="U216" s="103" t="s">
        <v>1023</v>
      </c>
      <c r="V216" s="103" t="s">
        <v>1930</v>
      </c>
      <c r="W216" s="103" t="s">
        <v>1930</v>
      </c>
    </row>
    <row r="217" spans="1:23" ht="15.75" customHeight="1">
      <c r="A217" s="96">
        <v>219</v>
      </c>
      <c r="B217" s="97" t="s">
        <v>27</v>
      </c>
      <c r="C217" s="96" t="s">
        <v>1945</v>
      </c>
      <c r="D217" s="96" t="s">
        <v>1946</v>
      </c>
      <c r="E217" s="96" t="s">
        <v>1947</v>
      </c>
      <c r="F217" s="96" t="s">
        <v>1948</v>
      </c>
      <c r="G217" s="99" t="s">
        <v>39</v>
      </c>
      <c r="H217" s="100" t="s">
        <v>40</v>
      </c>
      <c r="I217" s="101">
        <v>2011</v>
      </c>
      <c r="J217" s="102" t="str">
        <f>HYPERLINK("http://zeliv.eu","http://zeliv.eu")</f>
        <v>http://zeliv.eu</v>
      </c>
      <c r="K217" s="107" t="s">
        <v>2202</v>
      </c>
      <c r="L217" s="96" t="s">
        <v>1950</v>
      </c>
      <c r="M217" s="96"/>
      <c r="N217" s="96" t="s">
        <v>1952</v>
      </c>
      <c r="O217" s="102" t="s">
        <v>1953</v>
      </c>
      <c r="P217" s="96" t="s">
        <v>7695</v>
      </c>
      <c r="Q217" s="96">
        <v>49.5296211</v>
      </c>
      <c r="R217" s="96">
        <v>15.2142231</v>
      </c>
      <c r="S217" s="100" t="s">
        <v>52</v>
      </c>
      <c r="T217" s="103" t="s">
        <v>144</v>
      </c>
      <c r="U217" s="103" t="s">
        <v>227</v>
      </c>
      <c r="V217" s="103" t="s">
        <v>176</v>
      </c>
      <c r="W217" s="103" t="s">
        <v>1947</v>
      </c>
    </row>
    <row r="218" spans="1:23" ht="15.75" customHeight="1">
      <c r="A218" s="96">
        <v>220</v>
      </c>
      <c r="B218" s="97" t="s">
        <v>27</v>
      </c>
      <c r="C218" s="96" t="s">
        <v>1955</v>
      </c>
      <c r="D218" s="96" t="s">
        <v>1956</v>
      </c>
      <c r="E218" s="96" t="s">
        <v>1955</v>
      </c>
      <c r="F218" s="96" t="s">
        <v>1957</v>
      </c>
      <c r="G218" s="99" t="s">
        <v>39</v>
      </c>
      <c r="H218" s="100" t="s">
        <v>69</v>
      </c>
      <c r="I218" s="101">
        <v>2011</v>
      </c>
      <c r="J218" s="96"/>
      <c r="K218" s="102" t="str">
        <f>HYPERLINK("https://www.facebook.com/MinipivovarZumberk","https://www.facebook.com/MinipivovarZumberk")</f>
        <v>https://www.facebook.com/MinipivovarZumberk</v>
      </c>
      <c r="L218" s="96" t="s">
        <v>1958</v>
      </c>
      <c r="M218" s="96"/>
      <c r="N218" s="96" t="s">
        <v>1955</v>
      </c>
      <c r="O218" s="96"/>
      <c r="P218" s="96" t="s">
        <v>7696</v>
      </c>
      <c r="Q218" s="96">
        <v>48.7964786</v>
      </c>
      <c r="R218" s="96">
        <v>14.681794699999999</v>
      </c>
      <c r="S218" s="100" t="s">
        <v>7447</v>
      </c>
      <c r="T218" s="103" t="s">
        <v>369</v>
      </c>
      <c r="U218" s="103" t="s">
        <v>298</v>
      </c>
      <c r="V218" s="103" t="s">
        <v>2216</v>
      </c>
      <c r="W218" s="103" t="s">
        <v>2217</v>
      </c>
    </row>
    <row r="219" spans="1:23" ht="15.75" customHeight="1">
      <c r="A219" s="96">
        <v>221</v>
      </c>
      <c r="B219" s="97" t="s">
        <v>27</v>
      </c>
      <c r="C219" s="96" t="s">
        <v>1961</v>
      </c>
      <c r="D219" s="96" t="s">
        <v>1962</v>
      </c>
      <c r="E219" s="96" t="s">
        <v>1963</v>
      </c>
      <c r="F219" s="96" t="s">
        <v>1964</v>
      </c>
      <c r="G219" s="99" t="s">
        <v>39</v>
      </c>
      <c r="H219" s="100" t="s">
        <v>69</v>
      </c>
      <c r="I219" s="101">
        <v>2013</v>
      </c>
      <c r="J219" s="102" t="str">
        <f>HYPERLINK("http://www.pivovarmordyr.cz","http://www.pivovarmordyr.cz")</f>
        <v>http://www.pivovarmordyr.cz</v>
      </c>
      <c r="K219" s="102" t="str">
        <f>HYPERLINK("https://www.facebook.com/Pivovar-Mordýř-563626057021976","https://www.facebook.com/Pivovar-Mordýř-563626057021976")</f>
        <v>https://www.facebook.com/Pivovar-Mordýř-563626057021976</v>
      </c>
      <c r="L219" s="96" t="s">
        <v>1965</v>
      </c>
      <c r="M219" s="96"/>
      <c r="N219" s="96" t="s">
        <v>1967</v>
      </c>
      <c r="O219" s="102" t="s">
        <v>1968</v>
      </c>
      <c r="P219" s="96" t="s">
        <v>7697</v>
      </c>
      <c r="Q219" s="96">
        <v>50.076073600000001</v>
      </c>
      <c r="R219" s="96">
        <v>15.9196489</v>
      </c>
      <c r="S219" s="100" t="s">
        <v>52</v>
      </c>
      <c r="T219" s="103" t="s">
        <v>483</v>
      </c>
      <c r="U219" s="103" t="s">
        <v>1198</v>
      </c>
      <c r="V219" s="103" t="s">
        <v>2229</v>
      </c>
      <c r="W219" s="103" t="s">
        <v>1963</v>
      </c>
    </row>
    <row r="220" spans="1:23" ht="15.75" customHeight="1">
      <c r="A220" s="96">
        <v>222</v>
      </c>
      <c r="B220" s="97" t="s">
        <v>27</v>
      </c>
      <c r="C220" s="96" t="s">
        <v>1970</v>
      </c>
      <c r="D220" s="96" t="s">
        <v>1971</v>
      </c>
      <c r="E220" s="96" t="s">
        <v>1972</v>
      </c>
      <c r="F220" s="96" t="s">
        <v>1973</v>
      </c>
      <c r="G220" s="99" t="s">
        <v>39</v>
      </c>
      <c r="H220" s="100" t="s">
        <v>60</v>
      </c>
      <c r="I220" s="101">
        <v>2013</v>
      </c>
      <c r="J220" s="102" t="str">
        <f>HYPERLINK("http://www.pivovarbobr.cz","http://www.pivovarbobr.cz")</f>
        <v>http://www.pivovarbobr.cz</v>
      </c>
      <c r="K220" s="102" t="str">
        <f>HYPERLINK("https://www.facebook.com/pivobobr","https://www.facebook.com/pivobobr")</f>
        <v>https://www.facebook.com/pivobobr</v>
      </c>
      <c r="L220" s="96" t="s">
        <v>1974</v>
      </c>
      <c r="M220" s="96"/>
      <c r="N220" s="96" t="s">
        <v>1970</v>
      </c>
      <c r="O220" s="96"/>
      <c r="P220" s="96" t="s">
        <v>7698</v>
      </c>
      <c r="Q220" s="96">
        <v>49.919684199999999</v>
      </c>
      <c r="R220" s="96">
        <v>14.209605</v>
      </c>
      <c r="S220" s="100" t="s">
        <v>52</v>
      </c>
      <c r="T220" s="103" t="s">
        <v>71</v>
      </c>
      <c r="U220" s="103" t="s">
        <v>183</v>
      </c>
      <c r="V220" s="103" t="s">
        <v>183</v>
      </c>
      <c r="W220" s="103" t="s">
        <v>1972</v>
      </c>
    </row>
    <row r="221" spans="1:23" ht="15.75" customHeight="1">
      <c r="A221" s="96">
        <v>223</v>
      </c>
      <c r="B221" s="97" t="s">
        <v>27</v>
      </c>
      <c r="C221" s="96" t="s">
        <v>1978</v>
      </c>
      <c r="D221" s="96" t="s">
        <v>1979</v>
      </c>
      <c r="E221" s="96" t="s">
        <v>1980</v>
      </c>
      <c r="F221" s="96" t="s">
        <v>1981</v>
      </c>
      <c r="G221" s="99" t="s">
        <v>39</v>
      </c>
      <c r="H221" s="100" t="s">
        <v>40</v>
      </c>
      <c r="I221" s="101">
        <v>2013</v>
      </c>
      <c r="J221" s="102" t="str">
        <f>HYPERLINK("http://www.pivofalkenstejn.cz","http://www.pivofalkenstejn.cz")</f>
        <v>http://www.pivofalkenstejn.cz</v>
      </c>
      <c r="K221" s="102" t="str">
        <f>HYPERLINK("https://www.facebook.com/PivoFalkenstejn","https://www.facebook.com/PivoFalkenstejn")</f>
        <v>https://www.facebook.com/PivoFalkenstejn</v>
      </c>
      <c r="L221" s="96" t="s">
        <v>1982</v>
      </c>
      <c r="M221" s="96"/>
      <c r="N221" s="96" t="s">
        <v>1984</v>
      </c>
      <c r="O221" s="96"/>
      <c r="P221" s="96" t="s">
        <v>7699</v>
      </c>
      <c r="Q221" s="96">
        <v>50.913967</v>
      </c>
      <c r="R221" s="96">
        <v>14.507649000000001</v>
      </c>
      <c r="S221" s="100" t="s">
        <v>52</v>
      </c>
      <c r="T221" s="103" t="s">
        <v>353</v>
      </c>
      <c r="U221" s="103" t="s">
        <v>843</v>
      </c>
      <c r="V221" s="103" t="s">
        <v>2262</v>
      </c>
      <c r="W221" s="103" t="s">
        <v>1980</v>
      </c>
    </row>
    <row r="222" spans="1:23" ht="15.75" customHeight="1">
      <c r="A222" s="96">
        <v>224</v>
      </c>
      <c r="B222" s="97" t="s">
        <v>27</v>
      </c>
      <c r="C222" s="96" t="s">
        <v>1987</v>
      </c>
      <c r="D222" s="96" t="s">
        <v>1988</v>
      </c>
      <c r="E222" s="96" t="s">
        <v>1989</v>
      </c>
      <c r="F222" s="96" t="s">
        <v>1990</v>
      </c>
      <c r="G222" s="99" t="s">
        <v>39</v>
      </c>
      <c r="H222" s="100" t="s">
        <v>69</v>
      </c>
      <c r="I222" s="101">
        <v>2013</v>
      </c>
      <c r="J222" s="102" t="str">
        <f>HYPERLINK("http://www.pivovar-hradek.cz","http://www.pivovar-hradek.cz")</f>
        <v>http://www.pivovar-hradek.cz</v>
      </c>
      <c r="K222" s="102" t="str">
        <f>HYPERLINK("https://www.facebook.com/PivovarHradek","https://www.facebook.com/PivovarHradek")</f>
        <v>https://www.facebook.com/PivovarHradek</v>
      </c>
      <c r="L222" s="96" t="s">
        <v>1991</v>
      </c>
      <c r="M222" s="96" t="s">
        <v>1993</v>
      </c>
      <c r="N222" s="96" t="s">
        <v>1994</v>
      </c>
      <c r="O222" s="102" t="s">
        <v>1996</v>
      </c>
      <c r="P222" s="96" t="s">
        <v>7700</v>
      </c>
      <c r="Q222" s="96">
        <v>49.074100999999899</v>
      </c>
      <c r="R222" s="96">
        <v>17.889088000000001</v>
      </c>
      <c r="S222" s="100" t="s">
        <v>52</v>
      </c>
      <c r="T222" s="103" t="s">
        <v>97</v>
      </c>
      <c r="U222" s="103" t="s">
        <v>2156</v>
      </c>
      <c r="V222" s="103" t="s">
        <v>2271</v>
      </c>
      <c r="W222" s="103" t="s">
        <v>2272</v>
      </c>
    </row>
    <row r="223" spans="1:23" ht="15.75" customHeight="1">
      <c r="A223" s="96">
        <v>225</v>
      </c>
      <c r="B223" s="97" t="s">
        <v>27</v>
      </c>
      <c r="C223" s="96" t="s">
        <v>1998</v>
      </c>
      <c r="D223" s="96" t="s">
        <v>1999</v>
      </c>
      <c r="E223" s="96" t="s">
        <v>1254</v>
      </c>
      <c r="F223" s="96" t="s">
        <v>2000</v>
      </c>
      <c r="G223" s="99" t="s">
        <v>39</v>
      </c>
      <c r="H223" s="100" t="s">
        <v>89</v>
      </c>
      <c r="I223" s="101" t="s">
        <v>2278</v>
      </c>
      <c r="J223" s="102" t="str">
        <f>HYPERLINK("http://www.grandhotelcernyorel.cz","http://www.grandhotelcernyorel.cz")</f>
        <v>http://www.grandhotelcernyorel.cz</v>
      </c>
      <c r="K223" s="96"/>
      <c r="L223" s="96" t="s">
        <v>2002</v>
      </c>
      <c r="M223" s="109"/>
      <c r="N223" s="96" t="s">
        <v>2004</v>
      </c>
      <c r="O223" s="102" t="s">
        <v>2006</v>
      </c>
      <c r="P223" s="96" t="s">
        <v>7701</v>
      </c>
      <c r="Q223" s="96">
        <v>49.143471099999999</v>
      </c>
      <c r="R223" s="96">
        <v>15.0033628</v>
      </c>
      <c r="S223" s="100" t="s">
        <v>52</v>
      </c>
      <c r="T223" s="103" t="s">
        <v>369</v>
      </c>
      <c r="U223" s="103" t="s">
        <v>1254</v>
      </c>
      <c r="V223" s="103" t="s">
        <v>1254</v>
      </c>
      <c r="W223" s="103" t="s">
        <v>1254</v>
      </c>
    </row>
    <row r="224" spans="1:23" ht="15.75" customHeight="1">
      <c r="A224" s="96">
        <v>226</v>
      </c>
      <c r="B224" s="97" t="s">
        <v>27</v>
      </c>
      <c r="C224" s="96" t="s">
        <v>2009</v>
      </c>
      <c r="D224" s="96" t="s">
        <v>2010</v>
      </c>
      <c r="E224" s="96" t="s">
        <v>2011</v>
      </c>
      <c r="F224" s="96" t="s">
        <v>2012</v>
      </c>
      <c r="G224" s="99" t="s">
        <v>39</v>
      </c>
      <c r="H224" s="100" t="s">
        <v>40</v>
      </c>
      <c r="I224" s="101">
        <v>2013</v>
      </c>
      <c r="J224" s="102" t="s">
        <v>2013</v>
      </c>
      <c r="K224" s="102" t="str">
        <f>HYPERLINK("https://www.facebook.com/arealfriesovyboudy","https://www.facebook.com/arealfriesovyboudy")</f>
        <v>https://www.facebook.com/arealfriesovyboudy</v>
      </c>
      <c r="L224" s="96" t="s">
        <v>2014</v>
      </c>
      <c r="M224" s="96"/>
      <c r="N224" s="96" t="s">
        <v>2009</v>
      </c>
      <c r="O224" s="96"/>
      <c r="P224" s="96" t="s">
        <v>7702</v>
      </c>
      <c r="Q224" s="96">
        <v>50.7000829999999</v>
      </c>
      <c r="R224" s="96">
        <v>15.6515989999999</v>
      </c>
      <c r="S224" s="100" t="s">
        <v>7447</v>
      </c>
      <c r="T224" s="103" t="s">
        <v>207</v>
      </c>
      <c r="U224" s="103" t="s">
        <v>586</v>
      </c>
      <c r="V224" s="103" t="s">
        <v>481</v>
      </c>
      <c r="W224" s="103" t="s">
        <v>2299</v>
      </c>
    </row>
    <row r="225" spans="1:23" ht="15.75" customHeight="1">
      <c r="A225" s="96">
        <v>227</v>
      </c>
      <c r="B225" s="97" t="s">
        <v>27</v>
      </c>
      <c r="C225" s="96" t="s">
        <v>2018</v>
      </c>
      <c r="D225" s="96" t="s">
        <v>2019</v>
      </c>
      <c r="E225" s="96" t="s">
        <v>2020</v>
      </c>
      <c r="F225" s="96" t="s">
        <v>2021</v>
      </c>
      <c r="G225" s="99" t="s">
        <v>39</v>
      </c>
      <c r="H225" s="100" t="s">
        <v>69</v>
      </c>
      <c r="I225" s="101">
        <v>2013</v>
      </c>
      <c r="J225" s="102" t="str">
        <f>HYPERLINK("http://www.pivokokes.cz","http://www.pivokokes.cz")</f>
        <v>http://www.pivokokes.cz</v>
      </c>
      <c r="K225" s="102" t="str">
        <f>HYPERLINK("https://www.facebook.com/PivovarKokes","https://www.facebook.com/PivovarKokes")</f>
        <v>https://www.facebook.com/PivovarKokes</v>
      </c>
      <c r="L225" s="96" t="s">
        <v>2022</v>
      </c>
      <c r="M225" s="96"/>
      <c r="N225" s="96" t="s">
        <v>2024</v>
      </c>
      <c r="O225" s="102" t="s">
        <v>2025</v>
      </c>
      <c r="P225" s="96" t="s">
        <v>7703</v>
      </c>
      <c r="Q225" s="96">
        <v>49.2989549999999</v>
      </c>
      <c r="R225" s="96">
        <v>15.080097</v>
      </c>
      <c r="S225" s="100" t="s">
        <v>52</v>
      </c>
      <c r="T225" s="103" t="s">
        <v>144</v>
      </c>
      <c r="U225" s="103" t="s">
        <v>227</v>
      </c>
      <c r="V225" s="103" t="s">
        <v>227</v>
      </c>
      <c r="W225" s="103" t="s">
        <v>2020</v>
      </c>
    </row>
    <row r="226" spans="1:23" ht="15.75" customHeight="1">
      <c r="A226" s="96">
        <v>228</v>
      </c>
      <c r="B226" s="97" t="s">
        <v>27</v>
      </c>
      <c r="C226" s="96" t="s">
        <v>2027</v>
      </c>
      <c r="D226" s="96" t="s">
        <v>2028</v>
      </c>
      <c r="E226" s="96" t="s">
        <v>2029</v>
      </c>
      <c r="F226" s="96" t="s">
        <v>2030</v>
      </c>
      <c r="G226" s="99" t="s">
        <v>39</v>
      </c>
      <c r="H226" s="100" t="s">
        <v>89</v>
      </c>
      <c r="I226" s="101" t="s">
        <v>2318</v>
      </c>
      <c r="J226" s="96" t="s">
        <v>2031</v>
      </c>
      <c r="K226" s="96"/>
      <c r="L226" s="96" t="s">
        <v>2032</v>
      </c>
      <c r="M226" s="96" t="s">
        <v>2034</v>
      </c>
      <c r="N226" s="96" t="s">
        <v>2035</v>
      </c>
      <c r="O226" s="96"/>
      <c r="P226" s="96" t="s">
        <v>7704</v>
      </c>
      <c r="Q226" s="101">
        <v>50.665304999999897</v>
      </c>
      <c r="R226" s="101">
        <v>14.076129</v>
      </c>
      <c r="S226" s="100" t="s">
        <v>7447</v>
      </c>
      <c r="T226" s="103" t="s">
        <v>353</v>
      </c>
      <c r="U226" s="103" t="s">
        <v>354</v>
      </c>
      <c r="V226" s="103" t="s">
        <v>354</v>
      </c>
      <c r="W226" s="103" t="s">
        <v>354</v>
      </c>
    </row>
    <row r="227" spans="1:23" ht="15.75" customHeight="1">
      <c r="A227" s="96">
        <v>229</v>
      </c>
      <c r="B227" s="97" t="s">
        <v>27</v>
      </c>
      <c r="C227" s="96" t="s">
        <v>2037</v>
      </c>
      <c r="D227" s="96" t="s">
        <v>2038</v>
      </c>
      <c r="E227" s="96" t="s">
        <v>2039</v>
      </c>
      <c r="F227" s="96" t="s">
        <v>2040</v>
      </c>
      <c r="G227" s="99" t="s">
        <v>39</v>
      </c>
      <c r="H227" s="100" t="s">
        <v>60</v>
      </c>
      <c r="I227" s="101">
        <v>2013</v>
      </c>
      <c r="J227" s="102" t="str">
        <f>HYPERLINK("http://biskupickypivovar.cz","http://biskupickypivovar.cz")</f>
        <v>http://biskupickypivovar.cz</v>
      </c>
      <c r="K227" s="102" t="str">
        <f>HYPERLINK("https://www.facebook.com/biskupickygajdos","https://www.facebook.com/biskupickygajdos")</f>
        <v>https://www.facebook.com/biskupickygajdos</v>
      </c>
      <c r="L227" s="96" t="s">
        <v>2042</v>
      </c>
      <c r="M227" s="96"/>
      <c r="N227" s="96" t="s">
        <v>2037</v>
      </c>
      <c r="O227" s="96"/>
      <c r="P227" s="96" t="s">
        <v>7705</v>
      </c>
      <c r="Q227" s="96">
        <v>49.039236099999997</v>
      </c>
      <c r="R227" s="96">
        <v>16.008028100000001</v>
      </c>
      <c r="S227" s="100" t="s">
        <v>7447</v>
      </c>
      <c r="T227" s="103" t="s">
        <v>144</v>
      </c>
      <c r="U227" s="103" t="s">
        <v>422</v>
      </c>
      <c r="V227" s="103" t="s">
        <v>422</v>
      </c>
      <c r="W227" s="103" t="s">
        <v>2339</v>
      </c>
    </row>
    <row r="228" spans="1:23" ht="15.75" customHeight="1">
      <c r="A228" s="96">
        <v>230</v>
      </c>
      <c r="B228" s="97" t="s">
        <v>27</v>
      </c>
      <c r="C228" s="96" t="s">
        <v>2045</v>
      </c>
      <c r="D228" s="96" t="s">
        <v>2046</v>
      </c>
      <c r="E228" s="96" t="s">
        <v>516</v>
      </c>
      <c r="F228" s="96" t="s">
        <v>2047</v>
      </c>
      <c r="G228" s="99" t="s">
        <v>39</v>
      </c>
      <c r="H228" s="100" t="s">
        <v>89</v>
      </c>
      <c r="I228" s="101" t="s">
        <v>2344</v>
      </c>
      <c r="J228" s="96" t="s">
        <v>2048</v>
      </c>
      <c r="K228" s="96"/>
      <c r="L228" s="96" t="s">
        <v>2049</v>
      </c>
      <c r="M228" s="96" t="s">
        <v>2050</v>
      </c>
      <c r="N228" s="96" t="s">
        <v>2045</v>
      </c>
      <c r="O228" s="96"/>
      <c r="P228" s="96" t="s">
        <v>7706</v>
      </c>
      <c r="Q228" s="101">
        <v>49.940860999999899</v>
      </c>
      <c r="R228" s="101">
        <v>17.899253000000002</v>
      </c>
      <c r="S228" s="100" t="s">
        <v>7447</v>
      </c>
      <c r="T228" s="103" t="s">
        <v>121</v>
      </c>
      <c r="U228" s="103" t="s">
        <v>516</v>
      </c>
      <c r="V228" s="103" t="s">
        <v>516</v>
      </c>
      <c r="W228" s="103" t="s">
        <v>516</v>
      </c>
    </row>
    <row r="229" spans="1:23" ht="15.75" customHeight="1">
      <c r="A229" s="96">
        <v>231</v>
      </c>
      <c r="B229" s="97" t="s">
        <v>27</v>
      </c>
      <c r="C229" s="96" t="s">
        <v>2052</v>
      </c>
      <c r="D229" s="96" t="s">
        <v>2053</v>
      </c>
      <c r="E229" s="96" t="s">
        <v>2054</v>
      </c>
      <c r="F229" s="96" t="s">
        <v>2055</v>
      </c>
      <c r="G229" s="99" t="s">
        <v>39</v>
      </c>
      <c r="H229" s="100" t="s">
        <v>69</v>
      </c>
      <c r="I229" s="101">
        <v>2013</v>
      </c>
      <c r="J229" s="102" t="str">
        <f>HYPERLINK("http://www.radas.cz","http://www.radas.cz")</f>
        <v>http://www.radas.cz</v>
      </c>
      <c r="K229" s="102" t="str">
        <f>HYPERLINK("https://www.facebook.com/pivovarRADAS","https://www.facebook.com/pivovarRADAS")</f>
        <v>https://www.facebook.com/pivovarRADAS</v>
      </c>
      <c r="L229" s="96" t="s">
        <v>2056</v>
      </c>
      <c r="M229" s="96"/>
      <c r="N229" s="96" t="s">
        <v>2058</v>
      </c>
      <c r="O229" s="102" t="s">
        <v>2059</v>
      </c>
      <c r="P229" s="96" t="s">
        <v>7707</v>
      </c>
      <c r="Q229" s="96">
        <v>49.679340000000003</v>
      </c>
      <c r="R229" s="96">
        <v>18.569011</v>
      </c>
      <c r="S229" s="100" t="s">
        <v>7447</v>
      </c>
      <c r="T229" s="103" t="s">
        <v>121</v>
      </c>
      <c r="U229" s="103" t="s">
        <v>259</v>
      </c>
      <c r="V229" s="103" t="s">
        <v>1937</v>
      </c>
      <c r="W229" s="103" t="s">
        <v>2054</v>
      </c>
    </row>
    <row r="230" spans="1:23" ht="15.75" customHeight="1">
      <c r="A230" s="96">
        <v>232</v>
      </c>
      <c r="B230" s="97" t="s">
        <v>27</v>
      </c>
      <c r="C230" s="96" t="s">
        <v>2061</v>
      </c>
      <c r="D230" s="96" t="s">
        <v>2062</v>
      </c>
      <c r="E230" s="96" t="s">
        <v>2063</v>
      </c>
      <c r="F230" s="96" t="s">
        <v>2064</v>
      </c>
      <c r="G230" s="99" t="s">
        <v>39</v>
      </c>
      <c r="H230" s="100" t="s">
        <v>40</v>
      </c>
      <c r="I230" s="101">
        <v>2013</v>
      </c>
      <c r="J230" s="102" t="str">
        <f>HYPERLINK("http://www.restauraceovecka.cz","http://www.restauraceovecka.cz")</f>
        <v>http://www.restauraceovecka.cz</v>
      </c>
      <c r="K230" s="102" t="str">
        <f>HYPERLINK("https://www.facebook.com/KarvinskyPivovar","https://www.facebook.com/KarvinskyPivovar")</f>
        <v>https://www.facebook.com/KarvinskyPivovar</v>
      </c>
      <c r="L230" s="96" t="s">
        <v>2065</v>
      </c>
      <c r="M230" s="96"/>
      <c r="N230" s="96" t="s">
        <v>2067</v>
      </c>
      <c r="O230" s="107" t="s">
        <v>2363</v>
      </c>
      <c r="P230" s="96" t="s">
        <v>7708</v>
      </c>
      <c r="Q230" s="96">
        <v>49.843462000000002</v>
      </c>
      <c r="R230" s="96">
        <v>18.562473000000001</v>
      </c>
      <c r="S230" s="100" t="s">
        <v>52</v>
      </c>
      <c r="T230" s="103" t="s">
        <v>121</v>
      </c>
      <c r="U230" s="103" t="s">
        <v>132</v>
      </c>
      <c r="V230" s="103" t="s">
        <v>132</v>
      </c>
      <c r="W230" s="103" t="s">
        <v>132</v>
      </c>
    </row>
    <row r="231" spans="1:23" ht="15.75" customHeight="1">
      <c r="A231" s="96">
        <v>233</v>
      </c>
      <c r="B231" s="97" t="s">
        <v>27</v>
      </c>
      <c r="C231" s="96" t="s">
        <v>2072</v>
      </c>
      <c r="D231" s="96" t="s">
        <v>2073</v>
      </c>
      <c r="E231" s="96" t="s">
        <v>2074</v>
      </c>
      <c r="F231" s="96" t="s">
        <v>2075</v>
      </c>
      <c r="G231" s="99" t="s">
        <v>39</v>
      </c>
      <c r="H231" s="100" t="s">
        <v>40</v>
      </c>
      <c r="I231" s="101">
        <v>2013</v>
      </c>
      <c r="J231" s="102" t="str">
        <f>HYPERLINK("http://www.hotelbobik.eu","http://www.hotelbobik.eu")</f>
        <v>http://www.hotelbobik.eu</v>
      </c>
      <c r="K231" s="102" t="str">
        <f>HYPERLINK("https://www.facebook.com/hotelbobik","https://www.facebook.com/hotelbobik")</f>
        <v>https://www.facebook.com/hotelbobik</v>
      </c>
      <c r="L231" s="96" t="s">
        <v>2076</v>
      </c>
      <c r="M231" s="96"/>
      <c r="N231" s="96" t="s">
        <v>2072</v>
      </c>
      <c r="O231" s="96"/>
      <c r="P231" s="96" t="s">
        <v>7709</v>
      </c>
      <c r="Q231" s="96">
        <v>48.911340000000003</v>
      </c>
      <c r="R231" s="96">
        <v>13.891868000000001</v>
      </c>
      <c r="S231" s="100" t="s">
        <v>7447</v>
      </c>
      <c r="T231" s="103" t="s">
        <v>369</v>
      </c>
      <c r="U231" s="103" t="s">
        <v>976</v>
      </c>
      <c r="V231" s="103" t="s">
        <v>976</v>
      </c>
      <c r="W231" s="103" t="s">
        <v>2074</v>
      </c>
    </row>
    <row r="232" spans="1:23" ht="15.75" customHeight="1">
      <c r="A232" s="96">
        <v>234</v>
      </c>
      <c r="B232" s="97" t="s">
        <v>27</v>
      </c>
      <c r="C232" s="96" t="s">
        <v>2079</v>
      </c>
      <c r="D232" s="96" t="s">
        <v>2080</v>
      </c>
      <c r="E232" s="96" t="s">
        <v>1023</v>
      </c>
      <c r="F232" s="96" t="s">
        <v>2081</v>
      </c>
      <c r="G232" s="99" t="s">
        <v>39</v>
      </c>
      <c r="H232" s="100" t="s">
        <v>40</v>
      </c>
      <c r="I232" s="101">
        <v>2013</v>
      </c>
      <c r="J232" s="102" t="str">
        <f>HYPERLINK("http://www.pivozloun.cz","http://www.pivozloun.cz")</f>
        <v>http://www.pivozloun.cz</v>
      </c>
      <c r="K232" s="102" t="str">
        <f>HYPERLINK("https://www.facebook.com/PivoZLoun","https://www.facebook.com/PivoZLoun")</f>
        <v>https://www.facebook.com/PivoZLoun</v>
      </c>
      <c r="L232" s="96" t="s">
        <v>2082</v>
      </c>
      <c r="M232" s="96"/>
      <c r="N232" s="96" t="s">
        <v>2084</v>
      </c>
      <c r="O232" s="96"/>
      <c r="P232" s="96" t="s">
        <v>7710</v>
      </c>
      <c r="Q232" s="96">
        <v>50.352834999999899</v>
      </c>
      <c r="R232" s="96">
        <v>13.806838000000001</v>
      </c>
      <c r="S232" s="100" t="s">
        <v>52</v>
      </c>
      <c r="T232" s="103" t="s">
        <v>353</v>
      </c>
      <c r="U232" s="103" t="s">
        <v>1023</v>
      </c>
      <c r="V232" s="103" t="s">
        <v>1023</v>
      </c>
      <c r="W232" s="103" t="s">
        <v>1023</v>
      </c>
    </row>
    <row r="233" spans="1:23" ht="15.75" customHeight="1">
      <c r="A233" s="96">
        <v>235</v>
      </c>
      <c r="B233" s="97" t="s">
        <v>27</v>
      </c>
      <c r="C233" s="96" t="s">
        <v>2086</v>
      </c>
      <c r="D233" s="96" t="s">
        <v>2087</v>
      </c>
      <c r="E233" s="96" t="s">
        <v>2088</v>
      </c>
      <c r="F233" s="96" t="s">
        <v>2089</v>
      </c>
      <c r="G233" s="99" t="s">
        <v>39</v>
      </c>
      <c r="H233" s="100" t="s">
        <v>40</v>
      </c>
      <c r="I233" s="101">
        <v>2013</v>
      </c>
      <c r="J233" s="102" t="str">
        <f>HYPERLINK("http://www.podlipou-pivovar.cz","http://www.podlipou-pivovar.cz")</f>
        <v>http://www.podlipou-pivovar.cz</v>
      </c>
      <c r="K233" s="107" t="s">
        <v>2395</v>
      </c>
      <c r="L233" s="96" t="s">
        <v>2090</v>
      </c>
      <c r="M233" s="96"/>
      <c r="N233" s="96" t="s">
        <v>2094</v>
      </c>
      <c r="O233" s="96"/>
      <c r="P233" s="96" t="s">
        <v>7711</v>
      </c>
      <c r="Q233" s="96">
        <v>49.753725000000003</v>
      </c>
      <c r="R233" s="96">
        <v>13.484572</v>
      </c>
      <c r="S233" s="100" t="s">
        <v>52</v>
      </c>
      <c r="T233" s="103" t="s">
        <v>217</v>
      </c>
      <c r="U233" s="103" t="s">
        <v>1139</v>
      </c>
      <c r="V233" s="103" t="s">
        <v>1140</v>
      </c>
      <c r="W233" s="103" t="s">
        <v>2088</v>
      </c>
    </row>
    <row r="234" spans="1:23" ht="15.75" customHeight="1">
      <c r="A234" s="96">
        <v>236</v>
      </c>
      <c r="B234" s="97" t="s">
        <v>27</v>
      </c>
      <c r="C234" s="96" t="s">
        <v>2097</v>
      </c>
      <c r="D234" s="96" t="s">
        <v>2098</v>
      </c>
      <c r="E234" s="96" t="s">
        <v>316</v>
      </c>
      <c r="F234" s="96" t="s">
        <v>2099</v>
      </c>
      <c r="G234" s="99" t="s">
        <v>39</v>
      </c>
      <c r="H234" s="100" t="s">
        <v>60</v>
      </c>
      <c r="I234" s="101">
        <v>2013</v>
      </c>
      <c r="J234" s="102" t="str">
        <f>HYPERLINK("http://www.selsky-pivovarek.cz","http://www.selsky-pivovarek.cz")</f>
        <v>http://www.selsky-pivovarek.cz</v>
      </c>
      <c r="K234" s="102" t="str">
        <f>HYPERLINK("https://www.facebook.com/selskypivovarek","https://www.facebook.com/selskypivovarek")</f>
        <v>https://www.facebook.com/selskypivovarek</v>
      </c>
      <c r="L234" s="96" t="s">
        <v>2100</v>
      </c>
      <c r="M234" s="96" t="s">
        <v>2102</v>
      </c>
      <c r="N234" s="96" t="s">
        <v>2103</v>
      </c>
      <c r="O234" s="96"/>
      <c r="P234" s="96" t="s">
        <v>7712</v>
      </c>
      <c r="Q234" s="96">
        <v>49.282787499999998</v>
      </c>
      <c r="R234" s="96">
        <v>17.3635597</v>
      </c>
      <c r="S234" s="100" t="s">
        <v>7447</v>
      </c>
      <c r="T234" s="103" t="s">
        <v>97</v>
      </c>
      <c r="U234" s="103" t="s">
        <v>316</v>
      </c>
      <c r="V234" s="103" t="s">
        <v>316</v>
      </c>
      <c r="W234" s="103" t="s">
        <v>316</v>
      </c>
    </row>
    <row r="235" spans="1:23" ht="15.75" customHeight="1">
      <c r="A235" s="96">
        <v>237</v>
      </c>
      <c r="B235" s="97" t="s">
        <v>27</v>
      </c>
      <c r="C235" s="96" t="s">
        <v>2106</v>
      </c>
      <c r="D235" s="96" t="s">
        <v>2107</v>
      </c>
      <c r="E235" s="96" t="s">
        <v>1023</v>
      </c>
      <c r="F235" s="96" t="s">
        <v>2108</v>
      </c>
      <c r="G235" s="99" t="s">
        <v>39</v>
      </c>
      <c r="H235" s="100" t="s">
        <v>40</v>
      </c>
      <c r="I235" s="101">
        <v>2013</v>
      </c>
      <c r="J235" s="102" t="str">
        <f>HYPERLINK("http://lounskyzejdlik.cz","http://lounskyzejdlik.cz")</f>
        <v>http://lounskyzejdlik.cz</v>
      </c>
      <c r="K235" s="102" t="str">
        <f>HYPERLINK("https://www.facebook.com/Rodinný-minipivovar-Domov-Lounský-žejdlík-685998641411451","https://www.facebook.com/Rodinný-minipivovar-Domov-Lounský-žejdlík-685998641411451")</f>
        <v>https://www.facebook.com/Rodinný-minipivovar-Domov-Lounský-žejdlík-685998641411451</v>
      </c>
      <c r="L235" s="96" t="s">
        <v>2109</v>
      </c>
      <c r="M235" s="96"/>
      <c r="N235" s="96" t="s">
        <v>2111</v>
      </c>
      <c r="O235" s="96"/>
      <c r="P235" s="96" t="s">
        <v>7713</v>
      </c>
      <c r="Q235" s="96">
        <v>50.351436100000001</v>
      </c>
      <c r="R235" s="96">
        <v>13.8101111</v>
      </c>
      <c r="S235" s="100" t="s">
        <v>52</v>
      </c>
      <c r="T235" s="103" t="s">
        <v>353</v>
      </c>
      <c r="U235" s="103" t="s">
        <v>1023</v>
      </c>
      <c r="V235" s="103" t="s">
        <v>1023</v>
      </c>
      <c r="W235" s="103" t="s">
        <v>1023</v>
      </c>
    </row>
    <row r="236" spans="1:23" ht="15.75" customHeight="1">
      <c r="A236" s="96">
        <v>238</v>
      </c>
      <c r="B236" s="97" t="s">
        <v>27</v>
      </c>
      <c r="C236" s="96" t="s">
        <v>2115</v>
      </c>
      <c r="D236" s="96" t="s">
        <v>2116</v>
      </c>
      <c r="E236" s="96" t="s">
        <v>2117</v>
      </c>
      <c r="F236" s="96" t="s">
        <v>2118</v>
      </c>
      <c r="G236" s="99" t="s">
        <v>39</v>
      </c>
      <c r="H236" s="100" t="s">
        <v>69</v>
      </c>
      <c r="I236" s="101">
        <v>2013</v>
      </c>
      <c r="J236" s="96"/>
      <c r="K236" s="102" t="str">
        <f>HYPERLINK("https://www.facebook.com/Pivovar-Lišák-547777435314061","https://www.facebook.com/Pivovar-Lišák-547777435314061")</f>
        <v>https://www.facebook.com/Pivovar-Lišák-547777435314061</v>
      </c>
      <c r="L236" s="96" t="s">
        <v>2119</v>
      </c>
      <c r="M236" s="96"/>
      <c r="N236" s="96" t="s">
        <v>2115</v>
      </c>
      <c r="O236" s="102" t="s">
        <v>2121</v>
      </c>
      <c r="P236" s="96" t="s">
        <v>7714</v>
      </c>
      <c r="Q236" s="96">
        <v>49.278633599999999</v>
      </c>
      <c r="R236" s="96">
        <v>17.0407431</v>
      </c>
      <c r="S236" s="100" t="s">
        <v>7447</v>
      </c>
      <c r="T236" s="103" t="s">
        <v>325</v>
      </c>
      <c r="U236" s="103" t="s">
        <v>1635</v>
      </c>
      <c r="V236" s="103" t="s">
        <v>1635</v>
      </c>
      <c r="W236" s="103" t="s">
        <v>2117</v>
      </c>
    </row>
    <row r="237" spans="1:23" ht="15.75" customHeight="1">
      <c r="A237" s="96">
        <v>239</v>
      </c>
      <c r="B237" s="97" t="s">
        <v>27</v>
      </c>
      <c r="C237" s="96" t="s">
        <v>2123</v>
      </c>
      <c r="D237" s="96" t="s">
        <v>2124</v>
      </c>
      <c r="E237" s="96" t="s">
        <v>2125</v>
      </c>
      <c r="F237" s="96" t="s">
        <v>2126</v>
      </c>
      <c r="G237" s="99" t="s">
        <v>39</v>
      </c>
      <c r="H237" s="100" t="s">
        <v>40</v>
      </c>
      <c r="I237" s="101">
        <v>2013</v>
      </c>
      <c r="J237" s="102" t="str">
        <f>HYPERLINK("http://litomysl-veselka.cz","http://litomysl-veselka.cz")</f>
        <v>http://litomysl-veselka.cz</v>
      </c>
      <c r="K237" s="102" t="str">
        <f>HYPERLINK("https://www.facebook.com/Veselkalitomysl","https://www.facebook.com/Veselkalitomysl")</f>
        <v>https://www.facebook.com/Veselkalitomysl</v>
      </c>
      <c r="L237" s="96" t="s">
        <v>2128</v>
      </c>
      <c r="M237" s="96"/>
      <c r="N237" s="96" t="s">
        <v>2130</v>
      </c>
      <c r="O237" s="102" t="s">
        <v>2132</v>
      </c>
      <c r="P237" s="96" t="s">
        <v>7715</v>
      </c>
      <c r="Q237" s="96">
        <v>49.870925999999898</v>
      </c>
      <c r="R237" s="96">
        <v>16.316714999999899</v>
      </c>
      <c r="S237" s="100" t="s">
        <v>52</v>
      </c>
      <c r="T237" s="103" t="s">
        <v>483</v>
      </c>
      <c r="U237" s="103" t="s">
        <v>1067</v>
      </c>
      <c r="V237" s="103" t="s">
        <v>2125</v>
      </c>
      <c r="W237" s="103" t="s">
        <v>2125</v>
      </c>
    </row>
    <row r="238" spans="1:23" ht="15.75" customHeight="1">
      <c r="A238" s="96">
        <v>240</v>
      </c>
      <c r="B238" s="97" t="s">
        <v>27</v>
      </c>
      <c r="C238" s="96" t="s">
        <v>2134</v>
      </c>
      <c r="D238" s="96" t="s">
        <v>2135</v>
      </c>
      <c r="E238" s="96" t="s">
        <v>1018</v>
      </c>
      <c r="F238" s="96" t="s">
        <v>2136</v>
      </c>
      <c r="G238" s="99" t="s">
        <v>39</v>
      </c>
      <c r="H238" s="100" t="s">
        <v>69</v>
      </c>
      <c r="I238" s="101">
        <v>2013</v>
      </c>
      <c r="J238" s="102" t="str">
        <f>HYPERLINK("http://www.lucky-bastard.cz","http://www.lucky-bastard.cz")</f>
        <v>http://www.lucky-bastard.cz</v>
      </c>
      <c r="K238" s="102" t="str">
        <f>HYPERLINK("https://www.facebook.com/luckybastardcz","https://www.facebook.com/luckybastardcz")</f>
        <v>https://www.facebook.com/luckybastardcz</v>
      </c>
      <c r="L238" s="96" t="s">
        <v>2137</v>
      </c>
      <c r="M238" s="96" t="s">
        <v>2140</v>
      </c>
      <c r="N238" s="96" t="s">
        <v>2134</v>
      </c>
      <c r="O238" s="96"/>
      <c r="P238" s="96" t="s">
        <v>7716</v>
      </c>
      <c r="Q238" s="96">
        <v>49.208246699999997</v>
      </c>
      <c r="R238" s="96">
        <v>16.602758300000001</v>
      </c>
      <c r="S238" s="100" t="s">
        <v>52</v>
      </c>
      <c r="T238" s="103" t="s">
        <v>325</v>
      </c>
      <c r="U238" s="103" t="s">
        <v>1017</v>
      </c>
      <c r="V238" s="103" t="s">
        <v>1018</v>
      </c>
      <c r="W238" s="103" t="s">
        <v>1018</v>
      </c>
    </row>
    <row r="239" spans="1:23" ht="15.75" customHeight="1">
      <c r="A239" s="96">
        <v>241</v>
      </c>
      <c r="B239" s="97" t="s">
        <v>27</v>
      </c>
      <c r="C239" s="96" t="s">
        <v>2144</v>
      </c>
      <c r="D239" s="96" t="s">
        <v>2145</v>
      </c>
      <c r="E239" s="96" t="s">
        <v>2146</v>
      </c>
      <c r="F239" s="96" t="s">
        <v>2147</v>
      </c>
      <c r="G239" s="99" t="s">
        <v>39</v>
      </c>
      <c r="H239" s="100" t="s">
        <v>69</v>
      </c>
      <c r="I239" s="101">
        <v>2013</v>
      </c>
      <c r="J239" s="102" t="str">
        <f>HYPERLINK("http://www.pivovarzhurak.cz","http://www.pivovarzhurak.cz")</f>
        <v>http://www.pivovarzhurak.cz</v>
      </c>
      <c r="K239" s="102" t="str">
        <f>HYPERLINK("https://www.facebook.com/zhurak","https://www.facebook.com/zhurak")</f>
        <v>https://www.facebook.com/zhurak</v>
      </c>
      <c r="L239" s="96" t="s">
        <v>2149</v>
      </c>
      <c r="M239" s="96"/>
      <c r="N239" s="96" t="s">
        <v>2151</v>
      </c>
      <c r="O239" s="96"/>
      <c r="P239" s="96" t="s">
        <v>7717</v>
      </c>
      <c r="Q239" s="96">
        <v>49.537637799999999</v>
      </c>
      <c r="R239" s="96">
        <v>13.515683299999999</v>
      </c>
      <c r="S239" s="100" t="s">
        <v>7447</v>
      </c>
      <c r="T239" s="103" t="s">
        <v>217</v>
      </c>
      <c r="U239" s="103" t="s">
        <v>399</v>
      </c>
      <c r="V239" s="103" t="s">
        <v>2426</v>
      </c>
      <c r="W239" s="103" t="s">
        <v>2427</v>
      </c>
    </row>
    <row r="240" spans="1:23" ht="15.75" customHeight="1">
      <c r="A240" s="96">
        <v>242</v>
      </c>
      <c r="B240" s="97" t="s">
        <v>27</v>
      </c>
      <c r="C240" s="96" t="s">
        <v>2153</v>
      </c>
      <c r="D240" s="96" t="s">
        <v>2154</v>
      </c>
      <c r="E240" s="96" t="s">
        <v>259</v>
      </c>
      <c r="F240" s="96" t="s">
        <v>2155</v>
      </c>
      <c r="G240" s="99" t="s">
        <v>39</v>
      </c>
      <c r="H240" s="100" t="s">
        <v>40</v>
      </c>
      <c r="I240" s="101">
        <v>2013</v>
      </c>
      <c r="J240" s="102" t="str">
        <f>HYPERLINK("http://www.pivovarekmorava.cz","http://www.pivovarekmorava.cz")</f>
        <v>http://www.pivovarekmorava.cz</v>
      </c>
      <c r="K240" s="102" t="str">
        <f>HYPERLINK("https://www.facebook.com/PivovarekMorava","https://www.facebook.com/PivovarekMorava")</f>
        <v>https://www.facebook.com/PivovarekMorava</v>
      </c>
      <c r="L240" s="96" t="s">
        <v>2157</v>
      </c>
      <c r="M240" s="96" t="s">
        <v>2159</v>
      </c>
      <c r="N240" s="96" t="s">
        <v>2153</v>
      </c>
      <c r="O240" s="96" t="s">
        <v>2161</v>
      </c>
      <c r="P240" s="96" t="s">
        <v>7718</v>
      </c>
      <c r="Q240" s="96">
        <v>49.676793000000004</v>
      </c>
      <c r="R240" s="96">
        <v>18.333027000000001</v>
      </c>
      <c r="S240" s="100" t="s">
        <v>52</v>
      </c>
      <c r="T240" s="103" t="s">
        <v>121</v>
      </c>
      <c r="U240" s="103" t="s">
        <v>259</v>
      </c>
      <c r="V240" s="103" t="s">
        <v>259</v>
      </c>
      <c r="W240" s="103" t="s">
        <v>259</v>
      </c>
    </row>
    <row r="241" spans="1:23" ht="15.75" customHeight="1">
      <c r="A241" s="96">
        <v>243</v>
      </c>
      <c r="B241" s="97" t="s">
        <v>27</v>
      </c>
      <c r="C241" s="96" t="s">
        <v>2163</v>
      </c>
      <c r="D241" s="96" t="s">
        <v>2164</v>
      </c>
      <c r="E241" s="96" t="s">
        <v>2165</v>
      </c>
      <c r="F241" s="96" t="s">
        <v>2166</v>
      </c>
      <c r="G241" s="99" t="s">
        <v>39</v>
      </c>
      <c r="H241" s="100" t="s">
        <v>40</v>
      </c>
      <c r="I241" s="101">
        <v>2013</v>
      </c>
      <c r="J241" s="102" t="str">
        <f>HYPERLINK("http://www.nadsarkou.cz","http://www.nadsarkou.cz")</f>
        <v>http://www.nadsarkou.cz</v>
      </c>
      <c r="K241" s="102" t="str">
        <f>HYPERLINK("https://www.facebook.com/libockypivovar","https://www.facebook.com/libockypivovar")</f>
        <v>https://www.facebook.com/libockypivovar</v>
      </c>
      <c r="L241" s="96" t="s">
        <v>2167</v>
      </c>
      <c r="M241" s="96"/>
      <c r="N241" s="96" t="s">
        <v>2169</v>
      </c>
      <c r="O241" s="96"/>
      <c r="P241" s="96" t="s">
        <v>7719</v>
      </c>
      <c r="Q241" s="96">
        <v>50.092438999999899</v>
      </c>
      <c r="R241" s="96">
        <v>14.323957</v>
      </c>
      <c r="S241" s="100" t="s">
        <v>52</v>
      </c>
      <c r="T241" s="103" t="s">
        <v>58</v>
      </c>
      <c r="U241" s="103" t="s">
        <v>58</v>
      </c>
      <c r="V241" s="103" t="s">
        <v>58</v>
      </c>
      <c r="W241" s="103" t="s">
        <v>59</v>
      </c>
    </row>
    <row r="242" spans="1:23" ht="15.75" customHeight="1">
      <c r="A242" s="96">
        <v>244</v>
      </c>
      <c r="B242" s="97" t="s">
        <v>27</v>
      </c>
      <c r="C242" s="96" t="s">
        <v>2172</v>
      </c>
      <c r="D242" s="96" t="s">
        <v>2173</v>
      </c>
      <c r="E242" s="96" t="s">
        <v>638</v>
      </c>
      <c r="F242" s="96" t="s">
        <v>2174</v>
      </c>
      <c r="G242" s="99" t="s">
        <v>39</v>
      </c>
      <c r="H242" s="100" t="s">
        <v>40</v>
      </c>
      <c r="I242" s="101">
        <v>2013</v>
      </c>
      <c r="J242" s="102" t="str">
        <f>HYPERLINK("http://www.karasekastulpner.cz","http://www.karasekastulpner.cz")</f>
        <v>http://www.karasekastulpner.cz</v>
      </c>
      <c r="K242" s="102" t="str">
        <f>HYPERLINK("https://www.facebook.com/KarasekaStulpner","https://www.facebook.com/KarasekaStulpner")</f>
        <v>https://www.facebook.com/KarasekaStulpner</v>
      </c>
      <c r="L242" s="96" t="s">
        <v>2175</v>
      </c>
      <c r="M242" s="96"/>
      <c r="N242" s="96" t="s">
        <v>2177</v>
      </c>
      <c r="O242" s="107" t="s">
        <v>2454</v>
      </c>
      <c r="P242" s="96" t="s">
        <v>7720</v>
      </c>
      <c r="Q242" s="96">
        <v>50.459530999999899</v>
      </c>
      <c r="R242" s="96">
        <v>13.412614</v>
      </c>
      <c r="S242" s="100" t="s">
        <v>52</v>
      </c>
      <c r="T242" s="103" t="s">
        <v>353</v>
      </c>
      <c r="U242" s="103" t="s">
        <v>638</v>
      </c>
      <c r="V242" s="103" t="s">
        <v>638</v>
      </c>
      <c r="W242" s="103" t="s">
        <v>638</v>
      </c>
    </row>
    <row r="243" spans="1:23" ht="15.75" customHeight="1">
      <c r="A243" s="96">
        <v>245</v>
      </c>
      <c r="B243" s="97" t="s">
        <v>27</v>
      </c>
      <c r="C243" s="96" t="s">
        <v>2180</v>
      </c>
      <c r="D243" s="96" t="s">
        <v>2181</v>
      </c>
      <c r="E243" s="96" t="s">
        <v>2180</v>
      </c>
      <c r="F243" s="96" t="s">
        <v>2182</v>
      </c>
      <c r="G243" s="99" t="s">
        <v>39</v>
      </c>
      <c r="H243" s="100" t="s">
        <v>40</v>
      </c>
      <c r="I243" s="101">
        <v>2013</v>
      </c>
      <c r="J243" s="102" t="str">
        <f>HYPERLINK("http://www.pivovarpodlesi.cz","http://www.pivovarpodlesi.cz")</f>
        <v>http://www.pivovarpodlesi.cz</v>
      </c>
      <c r="K243" s="102" t="str">
        <f>HYPERLINK("https://www.facebook.com/pivovarpodlesi","https://www.facebook.com/pivovarpodlesi")</f>
        <v>https://www.facebook.com/pivovarpodlesi</v>
      </c>
      <c r="L243" s="96" t="s">
        <v>2183</v>
      </c>
      <c r="M243" s="96"/>
      <c r="N243" s="96" t="s">
        <v>2185</v>
      </c>
      <c r="O243" s="96"/>
      <c r="P243" s="96" t="s">
        <v>7721</v>
      </c>
      <c r="Q243" s="96">
        <v>49.689908000000003</v>
      </c>
      <c r="R243" s="96">
        <v>13.9820309999999</v>
      </c>
      <c r="S243" s="100" t="s">
        <v>52</v>
      </c>
      <c r="T243" s="103" t="s">
        <v>71</v>
      </c>
      <c r="U243" s="103" t="s">
        <v>195</v>
      </c>
      <c r="V243" s="103" t="s">
        <v>195</v>
      </c>
      <c r="W243" s="103" t="s">
        <v>2180</v>
      </c>
    </row>
    <row r="244" spans="1:23" ht="15.75" customHeight="1">
      <c r="A244" s="96">
        <v>246</v>
      </c>
      <c r="B244" s="97" t="s">
        <v>27</v>
      </c>
      <c r="C244" s="96" t="s">
        <v>2187</v>
      </c>
      <c r="D244" s="96" t="s">
        <v>2188</v>
      </c>
      <c r="E244" s="96" t="s">
        <v>516</v>
      </c>
      <c r="F244" s="96" t="s">
        <v>2189</v>
      </c>
      <c r="G244" s="99" t="s">
        <v>39</v>
      </c>
      <c r="H244" s="100" t="s">
        <v>40</v>
      </c>
      <c r="I244" s="101">
        <v>2013</v>
      </c>
      <c r="J244" s="102" t="str">
        <f>HYPERLINK("http://www.nova-sladovna.cz","http://www.nova-sladovna.cz")</f>
        <v>http://www.nova-sladovna.cz</v>
      </c>
      <c r="K244" s="107" t="s">
        <v>2474</v>
      </c>
      <c r="L244" s="96" t="s">
        <v>2190</v>
      </c>
      <c r="M244" s="96"/>
      <c r="N244" s="96" t="s">
        <v>2192</v>
      </c>
      <c r="O244" s="96"/>
      <c r="P244" s="96" t="s">
        <v>7722</v>
      </c>
      <c r="Q244" s="96">
        <v>49.940879000000002</v>
      </c>
      <c r="R244" s="96">
        <v>17.900700000000001</v>
      </c>
      <c r="S244" s="100" t="s">
        <v>52</v>
      </c>
      <c r="T244" s="103" t="s">
        <v>121</v>
      </c>
      <c r="U244" s="103" t="s">
        <v>516</v>
      </c>
      <c r="V244" s="103" t="s">
        <v>516</v>
      </c>
      <c r="W244" s="103" t="s">
        <v>516</v>
      </c>
    </row>
    <row r="245" spans="1:23" ht="15.75" customHeight="1">
      <c r="A245" s="96">
        <v>247</v>
      </c>
      <c r="B245" s="97" t="s">
        <v>27</v>
      </c>
      <c r="C245" s="96" t="s">
        <v>2194</v>
      </c>
      <c r="D245" s="96" t="s">
        <v>2195</v>
      </c>
      <c r="E245" s="96" t="s">
        <v>2194</v>
      </c>
      <c r="F245" s="96" t="s">
        <v>2196</v>
      </c>
      <c r="G245" s="99" t="s">
        <v>39</v>
      </c>
      <c r="H245" s="100" t="s">
        <v>40</v>
      </c>
      <c r="I245" s="101">
        <v>2013</v>
      </c>
      <c r="J245" s="102" t="str">
        <f>HYPERLINK("http://www.pivo-oslavany.cz","http://www.pivo-oslavany.cz")</f>
        <v>http://www.pivo-oslavany.cz</v>
      </c>
      <c r="K245" s="102" t="str">
        <f>HYPERLINK("https://www.facebook.com/Městský-zámecký-pivovar-Oslavany-849595381769723","https://www.facebook.com/Městský-zámecký-pivovar-Oslavany-849595381769723")</f>
        <v>https://www.facebook.com/Městský-zámecký-pivovar-Oslavany-849595381769723</v>
      </c>
      <c r="L245" s="96" t="s">
        <v>2197</v>
      </c>
      <c r="M245" s="96"/>
      <c r="N245" s="96" t="s">
        <v>2199</v>
      </c>
      <c r="O245" s="102" t="s">
        <v>2200</v>
      </c>
      <c r="P245" s="96" t="s">
        <v>7723</v>
      </c>
      <c r="Q245" s="96">
        <v>49.126928100000001</v>
      </c>
      <c r="R245" s="96">
        <v>16.333841899999999</v>
      </c>
      <c r="S245" s="100" t="s">
        <v>52</v>
      </c>
      <c r="T245" s="103" t="s">
        <v>325</v>
      </c>
      <c r="U245" s="103" t="s">
        <v>952</v>
      </c>
      <c r="V245" s="103" t="s">
        <v>2480</v>
      </c>
      <c r="W245" s="103" t="s">
        <v>2194</v>
      </c>
    </row>
    <row r="246" spans="1:23" ht="15.75" customHeight="1">
      <c r="A246" s="96">
        <v>248</v>
      </c>
      <c r="B246" s="97" t="s">
        <v>27</v>
      </c>
      <c r="C246" s="96" t="s">
        <v>2203</v>
      </c>
      <c r="D246" s="96" t="s">
        <v>2204</v>
      </c>
      <c r="E246" s="96" t="s">
        <v>2156</v>
      </c>
      <c r="F246" s="96" t="s">
        <v>2205</v>
      </c>
      <c r="G246" s="99" t="s">
        <v>39</v>
      </c>
      <c r="H246" s="100" t="s">
        <v>89</v>
      </c>
      <c r="I246" s="101" t="s">
        <v>2485</v>
      </c>
      <c r="J246" s="96"/>
      <c r="K246" s="96" t="s">
        <v>2206</v>
      </c>
      <c r="L246" s="96" t="s">
        <v>2207</v>
      </c>
      <c r="M246" s="96"/>
      <c r="N246" s="96" t="s">
        <v>2209</v>
      </c>
      <c r="O246" s="102" t="s">
        <v>2210</v>
      </c>
      <c r="P246" s="96" t="s">
        <v>7724</v>
      </c>
      <c r="Q246" s="101">
        <v>49.231361999999898</v>
      </c>
      <c r="R246" s="101">
        <v>17.6832549999999</v>
      </c>
      <c r="S246" s="100" t="s">
        <v>7447</v>
      </c>
      <c r="T246" s="103" t="s">
        <v>97</v>
      </c>
      <c r="U246" s="103" t="s">
        <v>2156</v>
      </c>
      <c r="V246" s="103" t="s">
        <v>2156</v>
      </c>
      <c r="W246" s="103" t="s">
        <v>2156</v>
      </c>
    </row>
    <row r="247" spans="1:23" ht="15.75" customHeight="1">
      <c r="A247" s="96">
        <v>249</v>
      </c>
      <c r="B247" s="97" t="s">
        <v>27</v>
      </c>
      <c r="C247" s="96" t="s">
        <v>2212</v>
      </c>
      <c r="D247" s="96" t="s">
        <v>2213</v>
      </c>
      <c r="E247" s="96" t="s">
        <v>2214</v>
      </c>
      <c r="F247" s="96" t="s">
        <v>2215</v>
      </c>
      <c r="G247" s="99" t="s">
        <v>39</v>
      </c>
      <c r="H247" s="100" t="s">
        <v>40</v>
      </c>
      <c r="I247" s="101">
        <v>2014</v>
      </c>
      <c r="J247" s="102" t="str">
        <f>HYPERLINK("http://www.pivovarmodrava.cz","http://www.pivovarmodrava.cz")</f>
        <v>http://www.pivovarmodrava.cz</v>
      </c>
      <c r="K247" s="102" t="str">
        <f>HYPERLINK("https://www.facebook.com/PivovarLyer","https://www.facebook.com/PivovarLyer")</f>
        <v>https://www.facebook.com/PivovarLyer</v>
      </c>
      <c r="L247" s="96" t="s">
        <v>2218</v>
      </c>
      <c r="M247" s="96"/>
      <c r="N247" s="96" t="s">
        <v>2212</v>
      </c>
      <c r="O247" s="96"/>
      <c r="P247" s="96" t="s">
        <v>7725</v>
      </c>
      <c r="Q247" s="96">
        <v>49.023558899999998</v>
      </c>
      <c r="R247" s="96">
        <v>13.4928089</v>
      </c>
      <c r="S247" s="100" t="s">
        <v>7447</v>
      </c>
      <c r="T247" s="103" t="s">
        <v>217</v>
      </c>
      <c r="U247" s="103" t="s">
        <v>218</v>
      </c>
      <c r="V247" s="103" t="s">
        <v>2148</v>
      </c>
      <c r="W247" s="103" t="s">
        <v>2214</v>
      </c>
    </row>
    <row r="248" spans="1:23" ht="15.75" customHeight="1">
      <c r="A248" s="96">
        <v>250</v>
      </c>
      <c r="B248" s="97" t="s">
        <v>27</v>
      </c>
      <c r="C248" s="96" t="s">
        <v>2221</v>
      </c>
      <c r="D248" s="96" t="s">
        <v>2222</v>
      </c>
      <c r="E248" s="96" t="s">
        <v>298</v>
      </c>
      <c r="F248" s="96" t="s">
        <v>2223</v>
      </c>
      <c r="G248" s="99" t="s">
        <v>39</v>
      </c>
      <c r="H248" s="100" t="s">
        <v>60</v>
      </c>
      <c r="I248" s="101">
        <v>2013</v>
      </c>
      <c r="J248" s="102" t="str">
        <f>HYPERLINK("http://beeranek.cz","http://beeranek.cz")</f>
        <v>http://beeranek.cz</v>
      </c>
      <c r="K248" s="102" t="str">
        <f>HYPERLINK("https://www.facebook.com/beeranekbeer","https://www.facebook.com/beeranekbeer")</f>
        <v>https://www.facebook.com/beeranekbeer</v>
      </c>
      <c r="L248" s="96" t="s">
        <v>2224</v>
      </c>
      <c r="M248" s="96"/>
      <c r="N248" s="96" t="s">
        <v>2226</v>
      </c>
      <c r="O248" s="96"/>
      <c r="P248" s="96" t="s">
        <v>7726</v>
      </c>
      <c r="Q248" s="96">
        <v>48.974760000000003</v>
      </c>
      <c r="R248" s="96">
        <v>14.4725459999999</v>
      </c>
      <c r="S248" s="100" t="s">
        <v>52</v>
      </c>
      <c r="T248" s="103" t="s">
        <v>369</v>
      </c>
      <c r="U248" s="103" t="s">
        <v>298</v>
      </c>
      <c r="V248" s="103" t="s">
        <v>298</v>
      </c>
      <c r="W248" s="103" t="s">
        <v>298</v>
      </c>
    </row>
    <row r="249" spans="1:23" ht="15.75" customHeight="1">
      <c r="A249" s="96">
        <v>251</v>
      </c>
      <c r="B249" s="97" t="s">
        <v>27</v>
      </c>
      <c r="C249" s="96" t="s">
        <v>2230</v>
      </c>
      <c r="D249" s="96" t="s">
        <v>2231</v>
      </c>
      <c r="E249" s="96" t="s">
        <v>2232</v>
      </c>
      <c r="F249" s="96" t="s">
        <v>2233</v>
      </c>
      <c r="G249" s="99" t="s">
        <v>39</v>
      </c>
      <c r="H249" s="100" t="s">
        <v>40</v>
      </c>
      <c r="I249" s="101">
        <v>2014</v>
      </c>
      <c r="J249" s="102" t="str">
        <f>HYPERLINK("http://www.pivovarkostelec.cz","http://www.pivovarkostelec.cz")</f>
        <v>http://www.pivovarkostelec.cz</v>
      </c>
      <c r="K249" s="102" t="str">
        <f>HYPERLINK("https://www.facebook.com/pivovarkostelec","https://www.facebook.com/pivovarkostelec")</f>
        <v>https://www.facebook.com/pivovarkostelec</v>
      </c>
      <c r="L249" s="96" t="s">
        <v>2234</v>
      </c>
      <c r="M249" s="96"/>
      <c r="N249" s="96" t="s">
        <v>2236</v>
      </c>
      <c r="O249" s="96"/>
      <c r="P249" s="96" t="s">
        <v>7727</v>
      </c>
      <c r="Q249" s="96">
        <v>49.997992000000004</v>
      </c>
      <c r="R249" s="96">
        <v>14.8649349999999</v>
      </c>
      <c r="S249" s="100" t="s">
        <v>52</v>
      </c>
      <c r="T249" s="103" t="s">
        <v>71</v>
      </c>
      <c r="U249" s="103" t="s">
        <v>1075</v>
      </c>
      <c r="V249" s="103" t="s">
        <v>1077</v>
      </c>
      <c r="W249" s="103" t="s">
        <v>2232</v>
      </c>
    </row>
    <row r="250" spans="1:23" ht="15.75" customHeight="1">
      <c r="A250" s="96">
        <v>252</v>
      </c>
      <c r="B250" s="97" t="s">
        <v>27</v>
      </c>
      <c r="C250" s="96" t="s">
        <v>2238</v>
      </c>
      <c r="D250" s="96" t="s">
        <v>2239</v>
      </c>
      <c r="E250" s="96" t="s">
        <v>2238</v>
      </c>
      <c r="F250" s="96" t="s">
        <v>2240</v>
      </c>
      <c r="G250" s="99" t="s">
        <v>39</v>
      </c>
      <c r="H250" s="100" t="s">
        <v>40</v>
      </c>
      <c r="I250" s="101">
        <v>2014</v>
      </c>
      <c r="J250" s="102" t="str">
        <f>HYPERLINK("http://www.pivovarpopelin.cz","http://www.pivovarpopelin.cz")</f>
        <v>http://www.pivovarpopelin.cz</v>
      </c>
      <c r="K250" s="96"/>
      <c r="L250" s="96" t="s">
        <v>2241</v>
      </c>
      <c r="M250" s="96"/>
      <c r="N250" s="96" t="s">
        <v>2243</v>
      </c>
      <c r="O250" s="102" t="s">
        <v>2245</v>
      </c>
      <c r="P250" s="96" t="s">
        <v>7728</v>
      </c>
      <c r="Q250" s="96">
        <v>49.2135581</v>
      </c>
      <c r="R250" s="96">
        <v>15.1865383</v>
      </c>
      <c r="S250" s="100" t="s">
        <v>52</v>
      </c>
      <c r="T250" s="103" t="s">
        <v>369</v>
      </c>
      <c r="U250" s="103" t="s">
        <v>1254</v>
      </c>
      <c r="V250" s="103" t="s">
        <v>1254</v>
      </c>
      <c r="W250" s="103" t="s">
        <v>2238</v>
      </c>
    </row>
    <row r="251" spans="1:23" ht="15.75" customHeight="1">
      <c r="A251" s="96">
        <v>253</v>
      </c>
      <c r="B251" s="97" t="s">
        <v>27</v>
      </c>
      <c r="C251" s="96" t="s">
        <v>2247</v>
      </c>
      <c r="D251" s="96" t="s">
        <v>2248</v>
      </c>
      <c r="E251" s="96" t="s">
        <v>2249</v>
      </c>
      <c r="F251" s="96" t="s">
        <v>2250</v>
      </c>
      <c r="G251" s="99" t="s">
        <v>39</v>
      </c>
      <c r="H251" s="100" t="s">
        <v>89</v>
      </c>
      <c r="I251" s="101" t="s">
        <v>2529</v>
      </c>
      <c r="J251" s="96" t="s">
        <v>2251</v>
      </c>
      <c r="K251" s="96" t="s">
        <v>2252</v>
      </c>
      <c r="L251" s="96" t="s">
        <v>2253</v>
      </c>
      <c r="M251" s="96"/>
      <c r="N251" s="96" t="s">
        <v>2255</v>
      </c>
      <c r="O251" s="102" t="s">
        <v>2257</v>
      </c>
      <c r="P251" s="96" t="s">
        <v>7729</v>
      </c>
      <c r="Q251" s="101">
        <v>49.780161999999898</v>
      </c>
      <c r="R251" s="101">
        <v>18.456315</v>
      </c>
      <c r="S251" s="100" t="s">
        <v>52</v>
      </c>
      <c r="T251" s="103" t="s">
        <v>121</v>
      </c>
      <c r="U251" s="103" t="s">
        <v>132</v>
      </c>
      <c r="V251" s="103" t="s">
        <v>2316</v>
      </c>
      <c r="W251" s="103" t="s">
        <v>2316</v>
      </c>
    </row>
    <row r="252" spans="1:23" ht="15.75" customHeight="1">
      <c r="A252" s="96">
        <v>254</v>
      </c>
      <c r="B252" s="97" t="s">
        <v>27</v>
      </c>
      <c r="C252" s="96" t="s">
        <v>2259</v>
      </c>
      <c r="D252" s="96" t="s">
        <v>2260</v>
      </c>
      <c r="E252" s="96" t="s">
        <v>1216</v>
      </c>
      <c r="F252" s="96" t="s">
        <v>2261</v>
      </c>
      <c r="G252" s="99" t="s">
        <v>39</v>
      </c>
      <c r="H252" s="100" t="s">
        <v>40</v>
      </c>
      <c r="I252" s="101">
        <v>2007</v>
      </c>
      <c r="J252" s="102" t="str">
        <f>HYPERLINK("http://www.pivovargroll.cz","http://www.pivovargroll.cz")</f>
        <v>http://www.pivovargroll.cz</v>
      </c>
      <c r="K252" s="102" t="s">
        <v>2263</v>
      </c>
      <c r="L252" s="100" t="s">
        <v>2264</v>
      </c>
      <c r="M252" s="96"/>
      <c r="N252" s="96" t="s">
        <v>2266</v>
      </c>
      <c r="O252" s="96"/>
      <c r="P252" s="96" t="s">
        <v>7730</v>
      </c>
      <c r="Q252" s="96">
        <v>49.750373099999997</v>
      </c>
      <c r="R252" s="96">
        <v>13.3809392</v>
      </c>
      <c r="S252" s="100" t="s">
        <v>52</v>
      </c>
      <c r="T252" s="103" t="s">
        <v>217</v>
      </c>
      <c r="U252" s="103" t="s">
        <v>1139</v>
      </c>
      <c r="V252" s="103" t="s">
        <v>1140</v>
      </c>
      <c r="W252" s="103" t="s">
        <v>1140</v>
      </c>
    </row>
    <row r="253" spans="1:23" ht="15.75" customHeight="1">
      <c r="A253" s="96">
        <v>255</v>
      </c>
      <c r="B253" s="97" t="s">
        <v>27</v>
      </c>
      <c r="C253" s="96" t="s">
        <v>2268</v>
      </c>
      <c r="D253" s="96" t="s">
        <v>2269</v>
      </c>
      <c r="E253" s="96" t="s">
        <v>1920</v>
      </c>
      <c r="F253" s="96" t="s">
        <v>2270</v>
      </c>
      <c r="G253" s="99" t="s">
        <v>39</v>
      </c>
      <c r="H253" s="100" t="s">
        <v>60</v>
      </c>
      <c r="I253" s="101">
        <v>2014</v>
      </c>
      <c r="J253" s="107" t="s">
        <v>2550</v>
      </c>
      <c r="K253" s="102" t="str">
        <f>HYPERLINK("https://www.facebook.com/letohradskyjelen","https://www.facebook.com/letohradskyjelen")</f>
        <v>https://www.facebook.com/letohradskyjelen</v>
      </c>
      <c r="L253" s="96" t="s">
        <v>2273</v>
      </c>
      <c r="M253" s="96"/>
      <c r="N253" s="96" t="s">
        <v>2275</v>
      </c>
      <c r="O253" s="102" t="s">
        <v>2276</v>
      </c>
      <c r="P253" s="96" t="s">
        <v>7731</v>
      </c>
      <c r="Q253" s="96">
        <v>50.092112200000003</v>
      </c>
      <c r="R253" s="96">
        <v>16.482316099999998</v>
      </c>
      <c r="S253" s="100" t="s">
        <v>52</v>
      </c>
      <c r="T253" s="103" t="s">
        <v>483</v>
      </c>
      <c r="U253" s="103" t="s">
        <v>484</v>
      </c>
      <c r="V253" s="103" t="s">
        <v>1920</v>
      </c>
      <c r="W253" s="103" t="s">
        <v>1920</v>
      </c>
    </row>
    <row r="254" spans="1:23" ht="15.75" customHeight="1">
      <c r="A254" s="96">
        <v>256</v>
      </c>
      <c r="B254" s="97" t="s">
        <v>27</v>
      </c>
      <c r="C254" s="96" t="s">
        <v>2279</v>
      </c>
      <c r="D254" s="96" t="s">
        <v>2280</v>
      </c>
      <c r="E254" s="96" t="s">
        <v>2281</v>
      </c>
      <c r="F254" s="96" t="s">
        <v>2282</v>
      </c>
      <c r="G254" s="99" t="s">
        <v>39</v>
      </c>
      <c r="H254" s="100" t="s">
        <v>89</v>
      </c>
      <c r="I254" s="101" t="s">
        <v>2555</v>
      </c>
      <c r="J254" s="96"/>
      <c r="K254" s="96"/>
      <c r="L254" s="96" t="s">
        <v>2283</v>
      </c>
      <c r="M254" s="96" t="s">
        <v>2284</v>
      </c>
      <c r="N254" s="96" t="s">
        <v>2285</v>
      </c>
      <c r="O254" s="96"/>
      <c r="P254" s="96" t="s">
        <v>7732</v>
      </c>
      <c r="Q254" s="101">
        <v>49.591475000000003</v>
      </c>
      <c r="R254" s="101">
        <v>17.2866129999999</v>
      </c>
      <c r="S254" s="100" t="s">
        <v>52</v>
      </c>
      <c r="T254" s="103" t="s">
        <v>312</v>
      </c>
      <c r="U254" s="103" t="s">
        <v>1034</v>
      </c>
      <c r="V254" s="103" t="s">
        <v>1034</v>
      </c>
      <c r="W254" s="103" t="s">
        <v>1034</v>
      </c>
    </row>
    <row r="255" spans="1:23" ht="15.75" customHeight="1">
      <c r="A255" s="96">
        <v>257</v>
      </c>
      <c r="B255" s="97" t="s">
        <v>27</v>
      </c>
      <c r="C255" s="96" t="s">
        <v>2288</v>
      </c>
      <c r="D255" s="96" t="s">
        <v>2289</v>
      </c>
      <c r="E255" s="96" t="s">
        <v>2290</v>
      </c>
      <c r="F255" s="96" t="s">
        <v>2291</v>
      </c>
      <c r="G255" s="99" t="s">
        <v>39</v>
      </c>
      <c r="H255" s="100" t="s">
        <v>69</v>
      </c>
      <c r="I255" s="101">
        <v>2014</v>
      </c>
      <c r="J255" s="102" t="str">
        <f>HYPERLINK("http://www.joesgaragebeer.cz","http://www.joesgaragebeer.cz")</f>
        <v>http://www.joesgaragebeer.cz</v>
      </c>
      <c r="K255" s="96"/>
      <c r="L255" s="96" t="s">
        <v>2292</v>
      </c>
      <c r="M255" s="96" t="s">
        <v>2294</v>
      </c>
      <c r="N255" s="96" t="s">
        <v>2288</v>
      </c>
      <c r="O255" s="96"/>
      <c r="P255" s="96" t="s">
        <v>7733</v>
      </c>
      <c r="Q255" s="96">
        <v>49.755516999999898</v>
      </c>
      <c r="R255" s="96">
        <v>13.453533</v>
      </c>
      <c r="S255" s="100" t="s">
        <v>7447</v>
      </c>
      <c r="T255" s="103" t="s">
        <v>217</v>
      </c>
      <c r="U255" s="103" t="s">
        <v>1139</v>
      </c>
      <c r="V255" s="103" t="s">
        <v>1140</v>
      </c>
      <c r="W255" s="103" t="s">
        <v>1140</v>
      </c>
    </row>
    <row r="256" spans="1:23" ht="15.75" customHeight="1">
      <c r="A256" s="96">
        <v>258</v>
      </c>
      <c r="B256" s="97" t="s">
        <v>27</v>
      </c>
      <c r="C256" s="96" t="s">
        <v>2296</v>
      </c>
      <c r="D256" s="96" t="s">
        <v>2297</v>
      </c>
      <c r="E256" s="96" t="s">
        <v>843</v>
      </c>
      <c r="F256" s="96" t="s">
        <v>2298</v>
      </c>
      <c r="G256" s="99" t="s">
        <v>39</v>
      </c>
      <c r="H256" s="100" t="s">
        <v>40</v>
      </c>
      <c r="I256" s="101">
        <v>2014</v>
      </c>
      <c r="J256" s="102" t="str">
        <f>HYPERLINK("http://www.pivovarskarestaurace.com","http://www.pivovarskarestaurace.com")</f>
        <v>http://www.pivovarskarestaurace.com</v>
      </c>
      <c r="K256" s="102" t="str">
        <f>HYPERLINK("https://www.facebook.com/decinpivovar","https://www.facebook.com/decinpivovar")</f>
        <v>https://www.facebook.com/decinpivovar</v>
      </c>
      <c r="L256" s="96" t="s">
        <v>2300</v>
      </c>
      <c r="M256" s="96"/>
      <c r="N256" s="96" t="s">
        <v>2302</v>
      </c>
      <c r="O256" s="102" t="s">
        <v>2304</v>
      </c>
      <c r="P256" s="96" t="s">
        <v>7734</v>
      </c>
      <c r="Q256" s="96">
        <v>50.771982999999899</v>
      </c>
      <c r="R256" s="96">
        <v>14.1932829999999</v>
      </c>
      <c r="S256" s="100" t="s">
        <v>52</v>
      </c>
      <c r="T256" s="103" t="s">
        <v>353</v>
      </c>
      <c r="U256" s="103" t="s">
        <v>843</v>
      </c>
      <c r="V256" s="103" t="s">
        <v>843</v>
      </c>
      <c r="W256" s="103" t="s">
        <v>843</v>
      </c>
    </row>
    <row r="257" spans="1:23" ht="15.75" customHeight="1">
      <c r="A257" s="96">
        <v>259</v>
      </c>
      <c r="B257" s="97" t="s">
        <v>27</v>
      </c>
      <c r="C257" s="96" t="s">
        <v>2306</v>
      </c>
      <c r="D257" s="96" t="s">
        <v>2307</v>
      </c>
      <c r="E257" s="96" t="s">
        <v>555</v>
      </c>
      <c r="F257" s="96" t="s">
        <v>2308</v>
      </c>
      <c r="G257" s="99" t="s">
        <v>39</v>
      </c>
      <c r="H257" s="100" t="s">
        <v>69</v>
      </c>
      <c r="I257" s="101">
        <v>2015</v>
      </c>
      <c r="J257" s="102" t="str">
        <f>HYPERLINK("http://www.pivniceusneka.cz","http://www.pivniceusneka.cz")</f>
        <v>http://www.pivniceusneka.cz</v>
      </c>
      <c r="K257" s="102" t="str">
        <f>HYPERLINK("https://www.facebook.com/PivniceuSneka","https://www.facebook.com/PivniceuSneka")</f>
        <v>https://www.facebook.com/PivniceuSneka</v>
      </c>
      <c r="L257" s="96" t="s">
        <v>2309</v>
      </c>
      <c r="M257" s="96" t="s">
        <v>2311</v>
      </c>
      <c r="N257" s="96" t="s">
        <v>2312</v>
      </c>
      <c r="O257" s="96"/>
      <c r="P257" s="96" t="s">
        <v>7735</v>
      </c>
      <c r="Q257" s="96">
        <v>48.850739699999998</v>
      </c>
      <c r="R257" s="96">
        <v>16.053238100000002</v>
      </c>
      <c r="S257" s="100" t="s">
        <v>7447</v>
      </c>
      <c r="T257" s="103" t="s">
        <v>325</v>
      </c>
      <c r="U257" s="103" t="s">
        <v>555</v>
      </c>
      <c r="V257" s="103" t="s">
        <v>555</v>
      </c>
      <c r="W257" s="103" t="s">
        <v>555</v>
      </c>
    </row>
    <row r="258" spans="1:23" ht="15.75" customHeight="1">
      <c r="A258" s="96">
        <v>260</v>
      </c>
      <c r="B258" s="97" t="s">
        <v>27</v>
      </c>
      <c r="C258" s="96" t="s">
        <v>2314</v>
      </c>
      <c r="D258" s="96" t="s">
        <v>2315</v>
      </c>
      <c r="E258" s="96" t="s">
        <v>2316</v>
      </c>
      <c r="F258" s="96" t="s">
        <v>2317</v>
      </c>
      <c r="G258" s="99" t="s">
        <v>39</v>
      </c>
      <c r="H258" s="100" t="s">
        <v>40</v>
      </c>
      <c r="I258" s="101">
        <v>2014</v>
      </c>
      <c r="J258" s="102" t="str">
        <f>HYPERLINK("http://www.slezskypivovar.cz","http://www.slezskypivovar.cz")</f>
        <v>http://www.slezskypivovar.cz</v>
      </c>
      <c r="K258" s="102" t="str">
        <f>HYPERLINK("https://www.facebook.com/Hostinec-U-BalonaSLEZSKÝ-Pivovar-200870443291403","https://www.facebook.com/Hostinec-U-BalonaSLEZSKÝ-Pivovar-200870443291403")</f>
        <v>https://www.facebook.com/Hostinec-U-BalonaSLEZSKÝ-Pivovar-200870443291403</v>
      </c>
      <c r="L258" s="96" t="s">
        <v>2319</v>
      </c>
      <c r="M258" s="96"/>
      <c r="N258" s="96" t="s">
        <v>2321</v>
      </c>
      <c r="O258" s="96" t="s">
        <v>2323</v>
      </c>
      <c r="P258" s="96" t="s">
        <v>7736</v>
      </c>
      <c r="Q258" s="96">
        <v>49.771619999999899</v>
      </c>
      <c r="R258" s="96">
        <v>18.434424</v>
      </c>
      <c r="S258" s="100" t="s">
        <v>52</v>
      </c>
      <c r="T258" s="103" t="s">
        <v>121</v>
      </c>
      <c r="U258" s="103" t="s">
        <v>132</v>
      </c>
      <c r="V258" s="103" t="s">
        <v>2316</v>
      </c>
      <c r="W258" s="103" t="s">
        <v>2316</v>
      </c>
    </row>
    <row r="259" spans="1:23" ht="15.75" customHeight="1">
      <c r="A259" s="96">
        <v>261</v>
      </c>
      <c r="B259" s="97" t="s">
        <v>27</v>
      </c>
      <c r="C259" s="96" t="s">
        <v>2325</v>
      </c>
      <c r="D259" s="96" t="s">
        <v>2326</v>
      </c>
      <c r="E259" s="96" t="s">
        <v>2325</v>
      </c>
      <c r="F259" s="96" t="s">
        <v>2327</v>
      </c>
      <c r="G259" s="99" t="s">
        <v>39</v>
      </c>
      <c r="H259" s="100" t="s">
        <v>89</v>
      </c>
      <c r="I259" s="101" t="s">
        <v>2328</v>
      </c>
      <c r="J259" s="96"/>
      <c r="K259" s="96" t="s">
        <v>2329</v>
      </c>
      <c r="L259" s="96" t="s">
        <v>2330</v>
      </c>
      <c r="M259" s="96" t="s">
        <v>2332</v>
      </c>
      <c r="N259" s="96" t="s">
        <v>2333</v>
      </c>
      <c r="O259" s="96"/>
      <c r="P259" s="96" t="s">
        <v>7737</v>
      </c>
      <c r="Q259" s="101">
        <v>49.429769999999898</v>
      </c>
      <c r="R259" s="101">
        <v>18.2186629999999</v>
      </c>
      <c r="S259" s="100" t="s">
        <v>52</v>
      </c>
      <c r="T259" s="103" t="s">
        <v>97</v>
      </c>
      <c r="U259" s="103" t="s">
        <v>287</v>
      </c>
      <c r="V259" s="103" t="s">
        <v>1436</v>
      </c>
      <c r="W259" s="103" t="s">
        <v>2325</v>
      </c>
    </row>
    <row r="260" spans="1:23" ht="15.75" customHeight="1">
      <c r="A260" s="96">
        <v>262</v>
      </c>
      <c r="B260" s="97" t="s">
        <v>27</v>
      </c>
      <c r="C260" s="96" t="s">
        <v>2336</v>
      </c>
      <c r="D260" s="96" t="s">
        <v>2337</v>
      </c>
      <c r="E260" s="96" t="s">
        <v>1040</v>
      </c>
      <c r="F260" s="96" t="s">
        <v>2338</v>
      </c>
      <c r="G260" s="99" t="s">
        <v>39</v>
      </c>
      <c r="H260" s="100" t="s">
        <v>60</v>
      </c>
      <c r="I260" s="101">
        <v>2014</v>
      </c>
      <c r="J260" s="102" t="str">
        <f>HYPERLINK("http://www.pivovarkrcin.cz","http://www.pivovarkrcin.cz")</f>
        <v>http://www.pivovarkrcin.cz</v>
      </c>
      <c r="K260" s="102" t="str">
        <f>HYPERLINK("https://www.facebook.com/pivovarkrcin","https://www.facebook.com/pivovarkrcin")</f>
        <v>https://www.facebook.com/pivovarkrcin</v>
      </c>
      <c r="L260" s="96" t="s">
        <v>2340</v>
      </c>
      <c r="M260" s="96"/>
      <c r="N260" s="96" t="s">
        <v>2342</v>
      </c>
      <c r="O260" s="96"/>
      <c r="P260" s="96" t="s">
        <v>7738</v>
      </c>
      <c r="Q260" s="96">
        <v>49.654454200000004</v>
      </c>
      <c r="R260" s="96">
        <v>14.447677499999999</v>
      </c>
      <c r="S260" s="100" t="s">
        <v>52</v>
      </c>
      <c r="T260" s="103" t="s">
        <v>71</v>
      </c>
      <c r="U260" s="103" t="s">
        <v>195</v>
      </c>
      <c r="V260" s="103" t="s">
        <v>1040</v>
      </c>
      <c r="W260" s="103" t="s">
        <v>1040</v>
      </c>
    </row>
    <row r="261" spans="1:23" ht="15.75" customHeight="1">
      <c r="A261" s="96">
        <v>263</v>
      </c>
      <c r="B261" s="97" t="s">
        <v>27</v>
      </c>
      <c r="C261" s="96" t="s">
        <v>2345</v>
      </c>
      <c r="D261" s="96" t="s">
        <v>2346</v>
      </c>
      <c r="E261" s="96" t="s">
        <v>2345</v>
      </c>
      <c r="F261" s="96" t="s">
        <v>2347</v>
      </c>
      <c r="G261" s="99" t="s">
        <v>39</v>
      </c>
      <c r="H261" s="100" t="s">
        <v>40</v>
      </c>
      <c r="I261" s="101">
        <v>2014</v>
      </c>
      <c r="J261" s="102" t="str">
        <f>HYPERLINK("http://www.pivovarletiny.cz","http://www.pivovarletiny.cz")</f>
        <v>http://www.pivovarletiny.cz</v>
      </c>
      <c r="K261" s="102" t="str">
        <f>HYPERLINK("https://www.facebook.com/pivovarletiny","https://www.facebook.com/pivovarletiny")</f>
        <v>https://www.facebook.com/pivovarletiny</v>
      </c>
      <c r="L261" s="96" t="s">
        <v>2348</v>
      </c>
      <c r="M261" s="96"/>
      <c r="N261" s="96" t="s">
        <v>2350</v>
      </c>
      <c r="O261" s="96"/>
      <c r="P261" s="96" t="s">
        <v>7739</v>
      </c>
      <c r="Q261" s="96">
        <v>49.5398906</v>
      </c>
      <c r="R261" s="96">
        <v>13.455411700000001</v>
      </c>
      <c r="S261" s="100" t="s">
        <v>52</v>
      </c>
      <c r="T261" s="103" t="s">
        <v>217</v>
      </c>
      <c r="U261" s="103" t="s">
        <v>399</v>
      </c>
      <c r="V261" s="103" t="s">
        <v>2426</v>
      </c>
      <c r="W261" s="103" t="s">
        <v>2345</v>
      </c>
    </row>
    <row r="262" spans="1:23" ht="15.75" customHeight="1">
      <c r="A262" s="96">
        <v>264</v>
      </c>
      <c r="B262" s="97" t="s">
        <v>27</v>
      </c>
      <c r="C262" s="96" t="s">
        <v>2352</v>
      </c>
      <c r="D262" s="96" t="s">
        <v>2353</v>
      </c>
      <c r="E262" s="96" t="s">
        <v>2354</v>
      </c>
      <c r="F262" s="96" t="s">
        <v>2355</v>
      </c>
      <c r="G262" s="99" t="s">
        <v>39</v>
      </c>
      <c r="H262" s="100" t="s">
        <v>89</v>
      </c>
      <c r="I262" s="101" t="s">
        <v>2278</v>
      </c>
      <c r="J262" s="102" t="str">
        <f>HYPERLINK("http://www.pivo-trubadur.cz","http://www.pivo-trubadur.cz")</f>
        <v>http://www.pivo-trubadur.cz</v>
      </c>
      <c r="K262" s="102" t="str">
        <f>HYPERLINK("https://www.facebook.com/Domácí-pivovar-Trubadúr-317560924946810","https://www.facebook.com/Domácí-pivovar-Trubadúr-317560924946810")</f>
        <v>https://www.facebook.com/Domácí-pivovar-Trubadúr-317560924946810</v>
      </c>
      <c r="L262" s="96" t="s">
        <v>2356</v>
      </c>
      <c r="M262" s="96" t="s">
        <v>2358</v>
      </c>
      <c r="N262" s="96" t="s">
        <v>2352</v>
      </c>
      <c r="O262" s="96"/>
      <c r="P262" s="96" t="s">
        <v>7740</v>
      </c>
      <c r="Q262" s="96">
        <v>49.826458000000002</v>
      </c>
      <c r="R262" s="96">
        <v>17.065653999999899</v>
      </c>
      <c r="S262" s="100" t="s">
        <v>7447</v>
      </c>
      <c r="T262" s="103" t="s">
        <v>312</v>
      </c>
      <c r="U262" s="103" t="s">
        <v>1034</v>
      </c>
      <c r="V262" s="103" t="s">
        <v>2632</v>
      </c>
      <c r="W262" s="103" t="s">
        <v>2354</v>
      </c>
    </row>
    <row r="263" spans="1:23" ht="15.75" customHeight="1">
      <c r="A263" s="96">
        <v>265</v>
      </c>
      <c r="B263" s="97" t="s">
        <v>27</v>
      </c>
      <c r="C263" s="96" t="s">
        <v>2360</v>
      </c>
      <c r="D263" s="96" t="s">
        <v>2361</v>
      </c>
      <c r="E263" s="96" t="s">
        <v>2360</v>
      </c>
      <c r="F263" s="96" t="s">
        <v>2362</v>
      </c>
      <c r="G263" s="99" t="s">
        <v>39</v>
      </c>
      <c r="H263" s="100" t="s">
        <v>69</v>
      </c>
      <c r="I263" s="101">
        <v>2014</v>
      </c>
      <c r="J263" s="102" t="str">
        <f>HYPERLINK("http://pivovar-doubravnik.webnode.cz","http://pivovar-doubravnik.webnode.cz")</f>
        <v>http://pivovar-doubravnik.webnode.cz</v>
      </c>
      <c r="K263" s="102" t="str">
        <f>HYPERLINK("https://www.facebook.com/doubravnik.pivovar","https://www.facebook.com/doubravnik.pivovar")</f>
        <v>https://www.facebook.com/doubravnik.pivovar</v>
      </c>
      <c r="L263" s="96" t="s">
        <v>2364</v>
      </c>
      <c r="M263" s="96"/>
      <c r="N263" s="96" t="s">
        <v>2366</v>
      </c>
      <c r="O263" s="102" t="s">
        <v>2367</v>
      </c>
      <c r="P263" s="96" t="s">
        <v>7741</v>
      </c>
      <c r="Q263" s="96">
        <v>49.427261000000001</v>
      </c>
      <c r="R263" s="96">
        <v>16.357745999999899</v>
      </c>
      <c r="S263" s="100" t="s">
        <v>7447</v>
      </c>
      <c r="T263" s="103" t="s">
        <v>325</v>
      </c>
      <c r="U263" s="103" t="s">
        <v>952</v>
      </c>
      <c r="V263" s="103" t="s">
        <v>953</v>
      </c>
      <c r="W263" s="103" t="s">
        <v>2360</v>
      </c>
    </row>
    <row r="264" spans="1:23" ht="15.75" customHeight="1">
      <c r="A264" s="96">
        <v>266</v>
      </c>
      <c r="B264" s="97" t="s">
        <v>27</v>
      </c>
      <c r="C264" s="96" t="s">
        <v>2369</v>
      </c>
      <c r="D264" s="96" t="s">
        <v>2370</v>
      </c>
      <c r="E264" s="96" t="s">
        <v>2371</v>
      </c>
      <c r="F264" s="96" t="s">
        <v>2372</v>
      </c>
      <c r="G264" s="99" t="s">
        <v>39</v>
      </c>
      <c r="H264" s="100" t="s">
        <v>40</v>
      </c>
      <c r="I264" s="101">
        <v>2014</v>
      </c>
      <c r="J264" s="102" t="str">
        <f>HYPERLINK("http://pivovarsedivak.cz","http://pivovarsedivak.cz")</f>
        <v>http://pivovarsedivak.cz</v>
      </c>
      <c r="K264" s="102" t="str">
        <f>HYPERLINK("https://www.facebook.com/PivovarSedivak","https://www.facebook.com/PivovarSedivak")</f>
        <v>https://www.facebook.com/PivovarSedivak</v>
      </c>
      <c r="L264" s="96" t="s">
        <v>2373</v>
      </c>
      <c r="M264" s="96"/>
      <c r="N264" s="96" t="s">
        <v>2369</v>
      </c>
      <c r="O264" s="96"/>
      <c r="P264" s="96" t="s">
        <v>7742</v>
      </c>
      <c r="Q264" s="96">
        <v>50.131570000000004</v>
      </c>
      <c r="R264" s="96">
        <v>14.424396</v>
      </c>
      <c r="S264" s="100" t="s">
        <v>52</v>
      </c>
      <c r="T264" s="103" t="s">
        <v>58</v>
      </c>
      <c r="U264" s="103" t="s">
        <v>58</v>
      </c>
      <c r="V264" s="103" t="s">
        <v>58</v>
      </c>
      <c r="W264" s="103" t="s">
        <v>59</v>
      </c>
    </row>
    <row r="265" spans="1:23" ht="15.75" customHeight="1">
      <c r="A265" s="96">
        <v>267</v>
      </c>
      <c r="B265" s="97" t="s">
        <v>27</v>
      </c>
      <c r="C265" s="96" t="s">
        <v>2375</v>
      </c>
      <c r="D265" s="96" t="s">
        <v>2376</v>
      </c>
      <c r="E265" s="96" t="s">
        <v>2377</v>
      </c>
      <c r="F265" s="96" t="s">
        <v>2378</v>
      </c>
      <c r="G265" s="99" t="s">
        <v>39</v>
      </c>
      <c r="H265" s="100" t="s">
        <v>60</v>
      </c>
      <c r="I265" s="101">
        <v>2014</v>
      </c>
      <c r="J265" s="102" t="str">
        <f>HYPERLINK("http://www.pivovarclock.cz","http://www.pivovarclock.cz")</f>
        <v>http://www.pivovarclock.cz</v>
      </c>
      <c r="K265" s="102" t="str">
        <f>HYPERLINK("https://www.facebook.com/pivovarclock","https://www.facebook.com/pivovarclock")</f>
        <v>https://www.facebook.com/pivovarclock</v>
      </c>
      <c r="L265" s="96" t="s">
        <v>2379</v>
      </c>
      <c r="M265" s="96"/>
      <c r="N265" s="96" t="s">
        <v>2381</v>
      </c>
      <c r="O265" s="102" t="s">
        <v>2382</v>
      </c>
      <c r="P265" s="96" t="s">
        <v>7743</v>
      </c>
      <c r="Q265" s="96">
        <v>50.082287000000001</v>
      </c>
      <c r="R265" s="96">
        <v>16.307551</v>
      </c>
      <c r="S265" s="100" t="s">
        <v>52</v>
      </c>
      <c r="T265" s="103" t="s">
        <v>207</v>
      </c>
      <c r="U265" s="103" t="s">
        <v>1450</v>
      </c>
      <c r="V265" s="103" t="s">
        <v>1450</v>
      </c>
      <c r="W265" s="103" t="s">
        <v>2377</v>
      </c>
    </row>
    <row r="266" spans="1:23" ht="15.75" customHeight="1">
      <c r="A266" s="96">
        <v>268</v>
      </c>
      <c r="B266" s="97" t="s">
        <v>27</v>
      </c>
      <c r="C266" s="96" t="s">
        <v>2384</v>
      </c>
      <c r="D266" s="96" t="s">
        <v>2385</v>
      </c>
      <c r="E266" s="96" t="s">
        <v>298</v>
      </c>
      <c r="F266" s="96" t="s">
        <v>2386</v>
      </c>
      <c r="G266" s="99" t="s">
        <v>39</v>
      </c>
      <c r="H266" s="100" t="s">
        <v>40</v>
      </c>
      <c r="I266" s="101">
        <v>2014</v>
      </c>
      <c r="J266" s="102" t="str">
        <f>HYPERLINK("http://krajinska27.cz","http://krajinska27.cz")</f>
        <v>http://krajinska27.cz</v>
      </c>
      <c r="K266" s="102" t="str">
        <f>HYPERLINK("https://www.facebook.com/krajinska27","https://www.facebook.com/krajinska27")</f>
        <v>https://www.facebook.com/krajinska27</v>
      </c>
      <c r="L266" s="96" t="s">
        <v>2387</v>
      </c>
      <c r="M266" s="96"/>
      <c r="N266" s="96" t="s">
        <v>2389</v>
      </c>
      <c r="O266" s="96"/>
      <c r="P266" s="96" t="s">
        <v>7744</v>
      </c>
      <c r="Q266" s="96">
        <v>48.976880000000001</v>
      </c>
      <c r="R266" s="96">
        <v>14.4736809999999</v>
      </c>
      <c r="S266" s="100" t="s">
        <v>52</v>
      </c>
      <c r="T266" s="103" t="s">
        <v>369</v>
      </c>
      <c r="U266" s="103" t="s">
        <v>298</v>
      </c>
      <c r="V266" s="103" t="s">
        <v>298</v>
      </c>
      <c r="W266" s="103" t="s">
        <v>298</v>
      </c>
    </row>
    <row r="267" spans="1:23" ht="15.75" customHeight="1">
      <c r="A267" s="96">
        <v>269</v>
      </c>
      <c r="B267" s="97" t="s">
        <v>27</v>
      </c>
      <c r="C267" s="96" t="s">
        <v>2391</v>
      </c>
      <c r="D267" s="96" t="s">
        <v>2392</v>
      </c>
      <c r="E267" s="96" t="s">
        <v>2393</v>
      </c>
      <c r="F267" s="96" t="s">
        <v>2394</v>
      </c>
      <c r="G267" s="99" t="s">
        <v>39</v>
      </c>
      <c r="H267" s="100" t="s">
        <v>40</v>
      </c>
      <c r="I267" s="101">
        <v>2014</v>
      </c>
      <c r="J267" s="102" t="str">
        <f>HYPERLINK("http://www.pivovarvranik.cz","http://www.pivovarvranik.cz")</f>
        <v>http://www.pivovarvranik.cz</v>
      </c>
      <c r="K267" s="102" t="str">
        <f>HYPERLINK("https://www.facebook.com/pivovarvranik","https://www.facebook.com/pivovarvranik")</f>
        <v>https://www.facebook.com/pivovarvranik</v>
      </c>
      <c r="L267" s="96" t="s">
        <v>2396</v>
      </c>
      <c r="M267" s="96"/>
      <c r="N267" s="96" t="s">
        <v>2391</v>
      </c>
      <c r="O267" s="102" t="s">
        <v>2397</v>
      </c>
      <c r="P267" s="96" t="s">
        <v>7745</v>
      </c>
      <c r="Q267" s="96">
        <v>49.298448999999898</v>
      </c>
      <c r="R267" s="96">
        <v>17.843848000000001</v>
      </c>
      <c r="S267" s="100" t="s">
        <v>52</v>
      </c>
      <c r="T267" s="103" t="s">
        <v>97</v>
      </c>
      <c r="U267" s="103" t="s">
        <v>2156</v>
      </c>
      <c r="V267" s="103" t="s">
        <v>2687</v>
      </c>
      <c r="W267" s="103" t="s">
        <v>2393</v>
      </c>
    </row>
    <row r="268" spans="1:23" ht="15.75" customHeight="1">
      <c r="A268" s="96">
        <v>270</v>
      </c>
      <c r="B268" s="97" t="s">
        <v>27</v>
      </c>
      <c r="C268" s="100" t="s">
        <v>2688</v>
      </c>
      <c r="D268" s="96" t="s">
        <v>2399</v>
      </c>
      <c r="E268" s="96" t="s">
        <v>2400</v>
      </c>
      <c r="F268" s="96" t="s">
        <v>2401</v>
      </c>
      <c r="G268" s="99" t="s">
        <v>39</v>
      </c>
      <c r="H268" s="100" t="s">
        <v>60</v>
      </c>
      <c r="I268" s="101">
        <v>2014</v>
      </c>
      <c r="J268" s="102" t="str">
        <f>HYPERLINK("http://www.karvinskepivo.cz","http://www.karvinskepivo.cz")</f>
        <v>http://www.karvinskepivo.cz</v>
      </c>
      <c r="K268" s="102" t="str">
        <f>HYPERLINK("https://www.facebook.com/PivovarKarvina","https://www.facebook.com/PivovarKarvina")</f>
        <v>https://www.facebook.com/PivovarKarvina</v>
      </c>
      <c r="L268" s="96" t="s">
        <v>2402</v>
      </c>
      <c r="M268" s="96"/>
      <c r="N268" s="96" t="s">
        <v>2404</v>
      </c>
      <c r="O268" s="96"/>
      <c r="P268" s="96" t="s">
        <v>7746</v>
      </c>
      <c r="Q268" s="96">
        <v>49.854529999999897</v>
      </c>
      <c r="R268" s="96">
        <v>18.5403009999999</v>
      </c>
      <c r="S268" s="100" t="s">
        <v>52</v>
      </c>
      <c r="T268" s="103" t="s">
        <v>121</v>
      </c>
      <c r="U268" s="103" t="s">
        <v>132</v>
      </c>
      <c r="V268" s="103" t="s">
        <v>132</v>
      </c>
      <c r="W268" s="103" t="s">
        <v>132</v>
      </c>
    </row>
    <row r="269" spans="1:23" ht="15.75" customHeight="1">
      <c r="A269" s="96">
        <v>271</v>
      </c>
      <c r="B269" s="97" t="s">
        <v>27</v>
      </c>
      <c r="C269" s="96" t="s">
        <v>2407</v>
      </c>
      <c r="D269" s="96" t="s">
        <v>2408</v>
      </c>
      <c r="E269" s="96" t="s">
        <v>1018</v>
      </c>
      <c r="F269" s="96" t="s">
        <v>2409</v>
      </c>
      <c r="G269" s="99" t="s">
        <v>39</v>
      </c>
      <c r="H269" s="100" t="s">
        <v>40</v>
      </c>
      <c r="I269" s="101">
        <v>2014</v>
      </c>
      <c r="J269" s="102" t="str">
        <f>HYPERLINK("http://www.charliesbeer.cz","http://www.charliesbeer.cz")</f>
        <v>http://www.charliesbeer.cz</v>
      </c>
      <c r="K269" s="102" t="str">
        <f>HYPERLINK("https://www.facebook.com/www.charliessquare.cz","https://www.facebook.com/www.charliessquare.cz")</f>
        <v>https://www.facebook.com/www.charliessquare.cz</v>
      </c>
      <c r="L269" s="96" t="s">
        <v>2410</v>
      </c>
      <c r="M269" s="96"/>
      <c r="N269" s="96" t="s">
        <v>2411</v>
      </c>
      <c r="O269" s="102" t="s">
        <v>2412</v>
      </c>
      <c r="P269" s="96" t="s">
        <v>7747</v>
      </c>
      <c r="Q269" s="96">
        <v>49.192724400000003</v>
      </c>
      <c r="R269" s="96">
        <v>16.6112872</v>
      </c>
      <c r="S269" s="100" t="s">
        <v>52</v>
      </c>
      <c r="T269" s="103" t="s">
        <v>325</v>
      </c>
      <c r="U269" s="103" t="s">
        <v>1017</v>
      </c>
      <c r="V269" s="103" t="s">
        <v>1018</v>
      </c>
      <c r="W269" s="103" t="s">
        <v>1018</v>
      </c>
    </row>
    <row r="270" spans="1:23" ht="15.75" customHeight="1">
      <c r="A270" s="96">
        <v>272</v>
      </c>
      <c r="B270" s="97" t="s">
        <v>27</v>
      </c>
      <c r="C270" s="96" t="s">
        <v>2414</v>
      </c>
      <c r="D270" s="96" t="s">
        <v>2415</v>
      </c>
      <c r="E270" s="96" t="s">
        <v>2414</v>
      </c>
      <c r="F270" s="96" t="s">
        <v>2416</v>
      </c>
      <c r="G270" s="99" t="s">
        <v>39</v>
      </c>
      <c r="H270" s="100" t="s">
        <v>69</v>
      </c>
      <c r="I270" s="101">
        <v>2015</v>
      </c>
      <c r="J270" s="102" t="str">
        <f>HYPERLINK("http://www.pivovarpadochov.cz","http://www.pivovarpadochov.cz")</f>
        <v>http://www.pivovarpadochov.cz</v>
      </c>
      <c r="K270" s="102" t="str">
        <f>HYPERLINK("https://www.facebook.com/pivovarpadochov","https://www.facebook.com/pivovarpadochov")</f>
        <v>https://www.facebook.com/pivovarpadochov</v>
      </c>
      <c r="L270" s="96" t="s">
        <v>2417</v>
      </c>
      <c r="M270" s="96"/>
      <c r="N270" s="96" t="s">
        <v>2419</v>
      </c>
      <c r="O270" s="102" t="s">
        <v>2420</v>
      </c>
      <c r="P270" s="96" t="s">
        <v>7748</v>
      </c>
      <c r="Q270" s="96">
        <v>49.137847000000001</v>
      </c>
      <c r="R270" s="96">
        <v>16.348416</v>
      </c>
      <c r="S270" s="100" t="s">
        <v>52</v>
      </c>
      <c r="T270" s="103" t="s">
        <v>325</v>
      </c>
      <c r="U270" s="103" t="s">
        <v>952</v>
      </c>
      <c r="V270" s="103" t="s">
        <v>2480</v>
      </c>
      <c r="W270" s="103" t="s">
        <v>2194</v>
      </c>
    </row>
    <row r="271" spans="1:23" ht="15.75" customHeight="1">
      <c r="A271" s="96">
        <v>273</v>
      </c>
      <c r="B271" s="97" t="s">
        <v>27</v>
      </c>
      <c r="C271" s="96" t="s">
        <v>2422</v>
      </c>
      <c r="D271" s="96" t="s">
        <v>2423</v>
      </c>
      <c r="E271" s="96" t="s">
        <v>2424</v>
      </c>
      <c r="F271" s="96" t="s">
        <v>2425</v>
      </c>
      <c r="G271" s="99" t="s">
        <v>39</v>
      </c>
      <c r="H271" s="100" t="s">
        <v>60</v>
      </c>
      <c r="I271" s="101">
        <v>2014</v>
      </c>
      <c r="J271" s="102" t="str">
        <f>HYPERLINK("http://www.uvacku.cz","http://www.uvacku.cz")</f>
        <v>http://www.uvacku.cz</v>
      </c>
      <c r="K271" s="102" t="str">
        <f>HYPERLINK("https://www.facebook.com/Rodinný-pivovar-U-Vacků-283576038489814","https://www.facebook.com/Rodinný-pivovar-U-Vacků-283576038489814")</f>
        <v>https://www.facebook.com/Rodinný-pivovar-U-Vacků-283576038489814</v>
      </c>
      <c r="L271" s="96" t="s">
        <v>2428</v>
      </c>
      <c r="M271" s="96"/>
      <c r="N271" s="96" t="s">
        <v>2429</v>
      </c>
      <c r="O271" s="96" t="s">
        <v>2430</v>
      </c>
      <c r="P271" s="96" t="s">
        <v>7749</v>
      </c>
      <c r="Q271" s="96">
        <v>50.154680999999897</v>
      </c>
      <c r="R271" s="96">
        <v>15.459239</v>
      </c>
      <c r="S271" s="100" t="s">
        <v>52</v>
      </c>
      <c r="T271" s="103" t="s">
        <v>207</v>
      </c>
      <c r="U271" s="103" t="s">
        <v>208</v>
      </c>
      <c r="V271" s="103" t="s">
        <v>208</v>
      </c>
      <c r="W271" s="103" t="s">
        <v>2424</v>
      </c>
    </row>
    <row r="272" spans="1:23" ht="15.75" customHeight="1">
      <c r="A272" s="96">
        <v>274</v>
      </c>
      <c r="B272" s="97" t="s">
        <v>27</v>
      </c>
      <c r="C272" s="96" t="s">
        <v>2432</v>
      </c>
      <c r="D272" s="96" t="s">
        <v>2433</v>
      </c>
      <c r="E272" s="96" t="s">
        <v>2434</v>
      </c>
      <c r="F272" s="96" t="s">
        <v>2435</v>
      </c>
      <c r="G272" s="99" t="s">
        <v>39</v>
      </c>
      <c r="H272" s="100" t="s">
        <v>40</v>
      </c>
      <c r="I272" s="101">
        <v>2014</v>
      </c>
      <c r="J272" s="102" t="str">
        <f>HYPERLINK("http://www.pivovar-luziny.cz","http://www.pivovar-luziny.cz")</f>
        <v>http://www.pivovar-luziny.cz</v>
      </c>
      <c r="K272" s="102" t="str">
        <f>HYPERLINK("https://www.facebook.com/PivovarLuziny","https://www.facebook.com/PivovarLuziny")</f>
        <v>https://www.facebook.com/PivovarLuziny</v>
      </c>
      <c r="L272" s="96" t="s">
        <v>2436</v>
      </c>
      <c r="M272" s="96"/>
      <c r="N272" s="96" t="s">
        <v>2438</v>
      </c>
      <c r="O272" s="102" t="s">
        <v>2439</v>
      </c>
      <c r="P272" s="96" t="s">
        <v>7750</v>
      </c>
      <c r="Q272" s="96">
        <v>50.044060000000002</v>
      </c>
      <c r="R272" s="96">
        <v>14.331552</v>
      </c>
      <c r="S272" s="100" t="s">
        <v>52</v>
      </c>
      <c r="T272" s="103" t="s">
        <v>58</v>
      </c>
      <c r="U272" s="103" t="s">
        <v>58</v>
      </c>
      <c r="V272" s="103" t="s">
        <v>58</v>
      </c>
      <c r="W272" s="103" t="s">
        <v>59</v>
      </c>
    </row>
    <row r="273" spans="1:23" ht="15.75" customHeight="1">
      <c r="A273" s="96">
        <v>275</v>
      </c>
      <c r="B273" s="97" t="s">
        <v>27</v>
      </c>
      <c r="C273" s="96" t="s">
        <v>2441</v>
      </c>
      <c r="D273" s="96" t="s">
        <v>2442</v>
      </c>
      <c r="E273" s="96" t="s">
        <v>2443</v>
      </c>
      <c r="F273" s="96" t="s">
        <v>2444</v>
      </c>
      <c r="G273" s="99" t="s">
        <v>39</v>
      </c>
      <c r="H273" s="100" t="s">
        <v>60</v>
      </c>
      <c r="I273" s="101">
        <v>2015</v>
      </c>
      <c r="J273" s="102" t="str">
        <f>HYPERLINK("http://pivovarhostomice.cz","http://pivovarhostomice.cz")</f>
        <v>http://pivovarhostomice.cz</v>
      </c>
      <c r="K273" s="102" t="str">
        <f>HYPERLINK("https://www.facebook.com/pivovarhostomicepodbrdy","https://www.facebook.com/pivovarhostomicepodbrdy")</f>
        <v>https://www.facebook.com/pivovarhostomicepodbrdy</v>
      </c>
      <c r="L273" s="96" t="s">
        <v>2445</v>
      </c>
      <c r="M273" s="96"/>
      <c r="N273" s="96" t="s">
        <v>2447</v>
      </c>
      <c r="O273" s="102" t="s">
        <v>2448</v>
      </c>
      <c r="P273" s="96" t="s">
        <v>7751</v>
      </c>
      <c r="Q273" s="96">
        <v>49.8234309999999</v>
      </c>
      <c r="R273" s="96">
        <v>14.044143</v>
      </c>
      <c r="S273" s="100" t="s">
        <v>52</v>
      </c>
      <c r="T273" s="103" t="s">
        <v>71</v>
      </c>
      <c r="U273" s="103" t="s">
        <v>183</v>
      </c>
      <c r="V273" s="103" t="s">
        <v>2773</v>
      </c>
      <c r="W273" s="103" t="s">
        <v>2441</v>
      </c>
    </row>
    <row r="274" spans="1:23" ht="15.75" customHeight="1">
      <c r="A274" s="96">
        <v>276</v>
      </c>
      <c r="B274" s="97" t="s">
        <v>27</v>
      </c>
      <c r="C274" s="96" t="s">
        <v>2450</v>
      </c>
      <c r="D274" s="96" t="s">
        <v>2451</v>
      </c>
      <c r="E274" s="96" t="s">
        <v>2452</v>
      </c>
      <c r="F274" s="96" t="s">
        <v>2453</v>
      </c>
      <c r="G274" s="99" t="s">
        <v>39</v>
      </c>
      <c r="H274" s="100" t="s">
        <v>60</v>
      </c>
      <c r="I274" s="101">
        <v>2014</v>
      </c>
      <c r="J274" s="102" t="str">
        <f>HYPERLINK("http://www.podripske-pivo.cz","http://www.podripske-pivo.cz")</f>
        <v>http://www.podripske-pivo.cz</v>
      </c>
      <c r="K274" s="102" t="str">
        <f>HYPERLINK("https://www.facebook.com/podripskepivo","https://www.facebook.com/podripskepivo")</f>
        <v>https://www.facebook.com/podripskepivo</v>
      </c>
      <c r="L274" s="96" t="s">
        <v>2455</v>
      </c>
      <c r="M274" s="96"/>
      <c r="N274" s="96" t="s">
        <v>2456</v>
      </c>
      <c r="O274" s="96"/>
      <c r="P274" s="96" t="s">
        <v>7752</v>
      </c>
      <c r="Q274" s="96">
        <v>50.373023000000003</v>
      </c>
      <c r="R274" s="96">
        <v>14.306996</v>
      </c>
      <c r="S274" s="100" t="s">
        <v>52</v>
      </c>
      <c r="T274" s="103" t="s">
        <v>353</v>
      </c>
      <c r="U274" s="103" t="s">
        <v>767</v>
      </c>
      <c r="V274" s="103" t="s">
        <v>2782</v>
      </c>
      <c r="W274" s="103" t="s">
        <v>2452</v>
      </c>
    </row>
    <row r="275" spans="1:23" ht="15.75" customHeight="1">
      <c r="A275" s="96">
        <v>277</v>
      </c>
      <c r="B275" s="97" t="s">
        <v>27</v>
      </c>
      <c r="C275" s="96" t="s">
        <v>2458</v>
      </c>
      <c r="D275" s="96" t="s">
        <v>2459</v>
      </c>
      <c r="E275" s="96" t="s">
        <v>819</v>
      </c>
      <c r="F275" s="98" t="s">
        <v>2460</v>
      </c>
      <c r="G275" s="99" t="s">
        <v>39</v>
      </c>
      <c r="H275" s="100" t="s">
        <v>89</v>
      </c>
      <c r="I275" s="101" t="s">
        <v>2529</v>
      </c>
      <c r="J275" s="96" t="s">
        <v>2461</v>
      </c>
      <c r="K275" s="96"/>
      <c r="L275" s="96" t="s">
        <v>2463</v>
      </c>
      <c r="M275" s="96"/>
      <c r="N275" s="96" t="s">
        <v>2465</v>
      </c>
      <c r="O275" s="96"/>
      <c r="P275" s="96" t="s">
        <v>3980</v>
      </c>
      <c r="Q275" s="101">
        <v>48.843273099999998</v>
      </c>
      <c r="R275" s="101">
        <v>17.125133600000002</v>
      </c>
      <c r="S275" s="100" t="s">
        <v>7447</v>
      </c>
      <c r="T275" s="103" t="s">
        <v>325</v>
      </c>
      <c r="U275" s="103" t="s">
        <v>819</v>
      </c>
      <c r="V275" s="103" t="s">
        <v>819</v>
      </c>
      <c r="W275" s="103" t="s">
        <v>819</v>
      </c>
    </row>
    <row r="276" spans="1:23" ht="15.75" customHeight="1">
      <c r="A276" s="96">
        <v>278</v>
      </c>
      <c r="B276" s="97" t="s">
        <v>27</v>
      </c>
      <c r="C276" s="96" t="s">
        <v>2467</v>
      </c>
      <c r="D276" s="96" t="s">
        <v>2468</v>
      </c>
      <c r="E276" s="96" t="s">
        <v>2467</v>
      </c>
      <c r="F276" s="96" t="s">
        <v>2469</v>
      </c>
      <c r="G276" s="99" t="s">
        <v>39</v>
      </c>
      <c r="H276" s="100" t="s">
        <v>60</v>
      </c>
      <c r="I276" s="101">
        <v>2014</v>
      </c>
      <c r="J276" s="96"/>
      <c r="K276" s="96"/>
      <c r="L276" s="96" t="s">
        <v>2470</v>
      </c>
      <c r="M276" s="96"/>
      <c r="N276" s="96" t="s">
        <v>2472</v>
      </c>
      <c r="O276" s="96"/>
      <c r="P276" s="96" t="s">
        <v>7753</v>
      </c>
      <c r="Q276" s="96">
        <v>50.439638000000002</v>
      </c>
      <c r="R276" s="96">
        <v>14.084906</v>
      </c>
      <c r="S276" s="100" t="s">
        <v>7447</v>
      </c>
      <c r="T276" s="103" t="s">
        <v>353</v>
      </c>
      <c r="U276" s="103" t="s">
        <v>767</v>
      </c>
      <c r="V276" s="103" t="s">
        <v>2802</v>
      </c>
      <c r="W276" s="103" t="s">
        <v>2467</v>
      </c>
    </row>
    <row r="277" spans="1:23" ht="15.75" customHeight="1">
      <c r="A277" s="96">
        <v>279</v>
      </c>
      <c r="B277" s="97" t="s">
        <v>27</v>
      </c>
      <c r="C277" s="96" t="s">
        <v>2476</v>
      </c>
      <c r="D277" s="96" t="s">
        <v>2477</v>
      </c>
      <c r="E277" s="96" t="s">
        <v>2478</v>
      </c>
      <c r="F277" s="96" t="s">
        <v>2479</v>
      </c>
      <c r="G277" s="99" t="s">
        <v>39</v>
      </c>
      <c r="H277" s="100" t="s">
        <v>40</v>
      </c>
      <c r="I277" s="101">
        <v>2014</v>
      </c>
      <c r="J277" s="102" t="str">
        <f>HYPERLINK("http://www.bezdekovsky-pivovar.cz","http://www.bezdekovsky-pivovar.cz")</f>
        <v>http://www.bezdekovsky-pivovar.cz</v>
      </c>
      <c r="K277" s="102" t="str">
        <f>HYPERLINK("https://www.facebook.com/Bezděkovský-pivovar-1462227794070114","https://www.facebook.com/Bezděkovský-pivovar-1462227794070114")</f>
        <v>https://www.facebook.com/Bezděkovský-pivovar-1462227794070114</v>
      </c>
      <c r="L277" s="96" t="s">
        <v>2481</v>
      </c>
      <c r="M277" s="96"/>
      <c r="N277" s="96" t="s">
        <v>2483</v>
      </c>
      <c r="O277" s="96"/>
      <c r="P277" s="96" t="s">
        <v>2484</v>
      </c>
      <c r="Q277" s="96">
        <v>49.382140300000003</v>
      </c>
      <c r="R277" s="96">
        <v>13.224807200000001</v>
      </c>
      <c r="S277" s="100" t="s">
        <v>52</v>
      </c>
      <c r="T277" s="103" t="s">
        <v>217</v>
      </c>
      <c r="U277" s="103" t="s">
        <v>218</v>
      </c>
      <c r="V277" s="103" t="s">
        <v>218</v>
      </c>
      <c r="W277" s="103" t="s">
        <v>2478</v>
      </c>
    </row>
    <row r="278" spans="1:23" ht="15.75" customHeight="1">
      <c r="A278" s="96">
        <v>280</v>
      </c>
      <c r="B278" s="97" t="s">
        <v>27</v>
      </c>
      <c r="C278" s="96" t="s">
        <v>2486</v>
      </c>
      <c r="D278" s="96" t="s">
        <v>2487</v>
      </c>
      <c r="E278" s="96" t="s">
        <v>820</v>
      </c>
      <c r="F278" s="96" t="s">
        <v>2488</v>
      </c>
      <c r="G278" s="99" t="s">
        <v>39</v>
      </c>
      <c r="H278" s="100" t="s">
        <v>40</v>
      </c>
      <c r="I278" s="101">
        <v>2014</v>
      </c>
      <c r="J278" s="102" t="str">
        <f>HYPERLINK("http://www.kyjovsky-pivovar.cz","http://www.kyjovsky-pivovar.cz")</f>
        <v>http://www.kyjovsky-pivovar.cz</v>
      </c>
      <c r="K278" s="102" t="str">
        <f>HYPERLINK("https://www.facebook.com/kyjovsky.pivovar","https://www.facebook.com/kyjovsky.pivovar")</f>
        <v>https://www.facebook.com/kyjovsky.pivovar</v>
      </c>
      <c r="L278" s="96" t="s">
        <v>2489</v>
      </c>
      <c r="M278" s="96"/>
      <c r="N278" s="96" t="s">
        <v>2490</v>
      </c>
      <c r="O278" s="102" t="s">
        <v>2492</v>
      </c>
      <c r="P278" s="96" t="s">
        <v>7754</v>
      </c>
      <c r="Q278" s="96">
        <v>49.015523000000002</v>
      </c>
      <c r="R278" s="96">
        <v>17.125454000000001</v>
      </c>
      <c r="S278" s="100" t="s">
        <v>52</v>
      </c>
      <c r="T278" s="103" t="s">
        <v>325</v>
      </c>
      <c r="U278" s="103" t="s">
        <v>819</v>
      </c>
      <c r="V278" s="103" t="s">
        <v>820</v>
      </c>
      <c r="W278" s="103" t="s">
        <v>820</v>
      </c>
    </row>
    <row r="279" spans="1:23" ht="15.75" customHeight="1">
      <c r="A279" s="96">
        <v>281</v>
      </c>
      <c r="B279" s="97" t="s">
        <v>27</v>
      </c>
      <c r="C279" s="96" t="s">
        <v>2494</v>
      </c>
      <c r="D279" s="96" t="s">
        <v>2495</v>
      </c>
      <c r="E279" s="96" t="s">
        <v>757</v>
      </c>
      <c r="F279" s="96" t="s">
        <v>2496</v>
      </c>
      <c r="G279" s="99" t="s">
        <v>39</v>
      </c>
      <c r="H279" s="100" t="s">
        <v>69</v>
      </c>
      <c r="I279" s="101">
        <v>2014</v>
      </c>
      <c r="J279" s="102" t="str">
        <f>HYPERLINK("http://www.minipivovarlisydedek.cz","http://www.minipivovarlisydedek.cz")</f>
        <v>http://www.minipivovarlisydedek.cz</v>
      </c>
      <c r="K279" s="96"/>
      <c r="L279" s="96" t="s">
        <v>2497</v>
      </c>
      <c r="M279" s="96"/>
      <c r="N279" s="96" t="s">
        <v>2494</v>
      </c>
      <c r="O279" s="102" t="s">
        <v>2499</v>
      </c>
      <c r="P279" s="96" t="s">
        <v>7755</v>
      </c>
      <c r="Q279" s="96">
        <v>50.107264000000001</v>
      </c>
      <c r="R279" s="96">
        <v>14.855626000000001</v>
      </c>
      <c r="S279" s="100" t="s">
        <v>7447</v>
      </c>
      <c r="T279" s="103" t="s">
        <v>71</v>
      </c>
      <c r="U279" s="103" t="s">
        <v>882</v>
      </c>
      <c r="V279" s="103" t="s">
        <v>884</v>
      </c>
      <c r="W279" s="103" t="s">
        <v>757</v>
      </c>
    </row>
    <row r="280" spans="1:23" ht="15.75" customHeight="1">
      <c r="A280" s="96">
        <v>282</v>
      </c>
      <c r="B280" s="97" t="s">
        <v>27</v>
      </c>
      <c r="C280" s="96" t="s">
        <v>2501</v>
      </c>
      <c r="D280" s="96" t="s">
        <v>2502</v>
      </c>
      <c r="E280" s="96" t="s">
        <v>1360</v>
      </c>
      <c r="F280" s="96" t="s">
        <v>2503</v>
      </c>
      <c r="G280" s="99" t="s">
        <v>39</v>
      </c>
      <c r="H280" s="100" t="s">
        <v>69</v>
      </c>
      <c r="I280" s="101">
        <v>2014</v>
      </c>
      <c r="J280" s="102" t="str">
        <f>HYPERLINK("http://pivo-klenot.cz","http://pivo-klenot.cz")</f>
        <v>http://pivo-klenot.cz</v>
      </c>
      <c r="K280" s="96"/>
      <c r="L280" s="96" t="s">
        <v>2504</v>
      </c>
      <c r="M280" s="96"/>
      <c r="N280" s="96" t="s">
        <v>2501</v>
      </c>
      <c r="O280" s="102" t="s">
        <v>2506</v>
      </c>
      <c r="P280" s="96" t="s">
        <v>7756</v>
      </c>
      <c r="Q280" s="96">
        <v>49.8569283</v>
      </c>
      <c r="R280" s="96">
        <v>13.612653099999999</v>
      </c>
      <c r="S280" s="100" t="s">
        <v>7447</v>
      </c>
      <c r="T280" s="103" t="s">
        <v>217</v>
      </c>
      <c r="U280" s="103" t="s">
        <v>1453</v>
      </c>
      <c r="V280" s="103" t="s">
        <v>1453</v>
      </c>
      <c r="W280" s="103" t="s">
        <v>1360</v>
      </c>
    </row>
    <row r="281" spans="1:23" ht="15.75" customHeight="1">
      <c r="A281" s="96">
        <v>283</v>
      </c>
      <c r="B281" s="97" t="s">
        <v>27</v>
      </c>
      <c r="C281" s="96" t="s">
        <v>2508</v>
      </c>
      <c r="D281" s="96" t="s">
        <v>2509</v>
      </c>
      <c r="E281" s="96" t="s">
        <v>2510</v>
      </c>
      <c r="F281" s="96" t="s">
        <v>2511</v>
      </c>
      <c r="G281" s="99" t="s">
        <v>39</v>
      </c>
      <c r="H281" s="100" t="s">
        <v>69</v>
      </c>
      <c r="I281" s="101">
        <v>2014</v>
      </c>
      <c r="J281" s="102" t="str">
        <f>HYPERLINK("http://www.pidipivovarek.cz","http://www.pidipivovarek.cz")</f>
        <v>http://www.pidipivovarek.cz</v>
      </c>
      <c r="K281" s="102" t="str">
        <f>HYPERLINK("https://www.facebook.com/www.pidipivovarek.cz","https://www.facebook.com/www.pidipivovarek.cz")</f>
        <v>https://www.facebook.com/www.pidipivovarek.cz</v>
      </c>
      <c r="L281" s="96" t="s">
        <v>2512</v>
      </c>
      <c r="M281" s="96"/>
      <c r="N281" s="96" t="s">
        <v>2514</v>
      </c>
      <c r="O281" s="96"/>
      <c r="P281" s="96" t="s">
        <v>7757</v>
      </c>
      <c r="Q281" s="96">
        <v>49.172908</v>
      </c>
      <c r="R281" s="96">
        <v>13.6374549999999</v>
      </c>
      <c r="S281" s="100" t="s">
        <v>7447</v>
      </c>
      <c r="T281" s="103" t="s">
        <v>217</v>
      </c>
      <c r="U281" s="103" t="s">
        <v>218</v>
      </c>
      <c r="V281" s="103" t="s">
        <v>2148</v>
      </c>
      <c r="W281" s="103" t="s">
        <v>2858</v>
      </c>
    </row>
    <row r="282" spans="1:23" ht="15.75" customHeight="1">
      <c r="A282" s="96">
        <v>284</v>
      </c>
      <c r="B282" s="97" t="s">
        <v>27</v>
      </c>
      <c r="C282" s="96" t="s">
        <v>2516</v>
      </c>
      <c r="D282" s="96" t="s">
        <v>2517</v>
      </c>
      <c r="E282" s="96" t="s">
        <v>2518</v>
      </c>
      <c r="F282" s="96" t="s">
        <v>2519</v>
      </c>
      <c r="G282" s="99" t="s">
        <v>39</v>
      </c>
      <c r="H282" s="100" t="s">
        <v>40</v>
      </c>
      <c r="I282" s="101">
        <v>2014</v>
      </c>
      <c r="J282" s="102" t="str">
        <f>HYPERLINK("http://karlovskyminipivovar.cz","http://karlovskyminipivovar.cz")</f>
        <v>http://karlovskyminipivovar.cz</v>
      </c>
      <c r="K282" s="102" t="str">
        <f>HYPERLINK("https://www.facebook.com/Penzion-Pod-Pralesem-114508615411415","https://www.facebook.com/Penzion-Pod-Pralesem-114508615411415")</f>
        <v>https://www.facebook.com/Penzion-Pod-Pralesem-114508615411415</v>
      </c>
      <c r="L282" s="96" t="s">
        <v>2520</v>
      </c>
      <c r="M282" s="96"/>
      <c r="N282" s="96" t="s">
        <v>2522</v>
      </c>
      <c r="O282" s="102" t="s">
        <v>2523</v>
      </c>
      <c r="P282" s="96" t="s">
        <v>7758</v>
      </c>
      <c r="Q282" s="96">
        <v>49.370227999999898</v>
      </c>
      <c r="R282" s="96">
        <v>18.357278000000001</v>
      </c>
      <c r="S282" s="100" t="s">
        <v>52</v>
      </c>
      <c r="T282" s="103" t="s">
        <v>97</v>
      </c>
      <c r="U282" s="103" t="s">
        <v>287</v>
      </c>
      <c r="V282" s="103" t="s">
        <v>287</v>
      </c>
      <c r="W282" s="103" t="s">
        <v>2518</v>
      </c>
    </row>
    <row r="283" spans="1:23" ht="15.75" customHeight="1">
      <c r="A283" s="96">
        <v>285</v>
      </c>
      <c r="B283" s="97" t="s">
        <v>27</v>
      </c>
      <c r="C283" s="96" t="s">
        <v>2525</v>
      </c>
      <c r="D283" s="96" t="s">
        <v>2526</v>
      </c>
      <c r="E283" s="96" t="s">
        <v>2527</v>
      </c>
      <c r="F283" s="96" t="s">
        <v>2528</v>
      </c>
      <c r="G283" s="99" t="s">
        <v>39</v>
      </c>
      <c r="H283" s="100" t="s">
        <v>40</v>
      </c>
      <c r="I283" s="101">
        <v>2014</v>
      </c>
      <c r="J283" s="102" t="str">
        <f>HYPERLINK("http://www.pivovarnadkolcavkou.cz","http://www.pivovarnadkolcavkou.cz")</f>
        <v>http://www.pivovarnadkolcavkou.cz</v>
      </c>
      <c r="K283" s="102" t="str">
        <f>HYPERLINK("https://www.facebook.com/Pivovar-Kolčavka-872990149385885","https://www.facebook.com/Pivovar-Kolčavka-872990149385885")</f>
        <v>https://www.facebook.com/Pivovar-Kolčavka-872990149385885</v>
      </c>
      <c r="L283" s="96" t="s">
        <v>2530</v>
      </c>
      <c r="M283" s="96"/>
      <c r="N283" s="96" t="s">
        <v>2532</v>
      </c>
      <c r="O283" s="96"/>
      <c r="P283" s="96" t="s">
        <v>7759</v>
      </c>
      <c r="Q283" s="96">
        <v>50.108280999999899</v>
      </c>
      <c r="R283" s="96">
        <v>14.482452</v>
      </c>
      <c r="S283" s="100" t="s">
        <v>52</v>
      </c>
      <c r="T283" s="103" t="s">
        <v>58</v>
      </c>
      <c r="U283" s="103" t="s">
        <v>58</v>
      </c>
      <c r="V283" s="103" t="s">
        <v>58</v>
      </c>
      <c r="W283" s="103" t="s">
        <v>59</v>
      </c>
    </row>
    <row r="284" spans="1:23" ht="15.75" customHeight="1">
      <c r="A284" s="96">
        <v>286</v>
      </c>
      <c r="B284" s="97" t="s">
        <v>27</v>
      </c>
      <c r="C284" s="96" t="s">
        <v>2534</v>
      </c>
      <c r="D284" s="96" t="s">
        <v>2535</v>
      </c>
      <c r="E284" s="96" t="s">
        <v>2536</v>
      </c>
      <c r="F284" s="96" t="s">
        <v>2537</v>
      </c>
      <c r="G284" s="99" t="s">
        <v>39</v>
      </c>
      <c r="H284" s="100" t="s">
        <v>40</v>
      </c>
      <c r="I284" s="101">
        <v>2014</v>
      </c>
      <c r="J284" s="102" t="str">
        <f>HYPERLINK("http://www.lindr-pivovar.cz","http://www.lindr-pivovar.cz")</f>
        <v>http://www.lindr-pivovar.cz</v>
      </c>
      <c r="K284" s="102" t="str">
        <f>HYPERLINK("https://www.facebook.com/Pivovar-LINDR-M%C5%BDANY-459614357473157","https://www.facebook.com/Pivovar-LINDR-M%C5%BDANY-459614357473157")</f>
        <v>https://www.facebook.com/Pivovar-LINDR-M%C5%BDANY-459614357473157</v>
      </c>
      <c r="L284" s="96" t="s">
        <v>2538</v>
      </c>
      <c r="M284" s="96"/>
      <c r="N284" s="96" t="s">
        <v>2540</v>
      </c>
      <c r="O284" s="102" t="s">
        <v>2541</v>
      </c>
      <c r="P284" s="96" t="s">
        <v>7760</v>
      </c>
      <c r="Q284" s="96">
        <v>50.296027000000002</v>
      </c>
      <c r="R284" s="96">
        <v>15.676076</v>
      </c>
      <c r="S284" s="100" t="s">
        <v>52</v>
      </c>
      <c r="T284" s="103" t="s">
        <v>207</v>
      </c>
      <c r="U284" s="103" t="s">
        <v>208</v>
      </c>
      <c r="V284" s="103" t="s">
        <v>208</v>
      </c>
      <c r="W284" s="103" t="s">
        <v>2536</v>
      </c>
    </row>
    <row r="285" spans="1:23" ht="15.75" customHeight="1">
      <c r="A285" s="96">
        <v>287</v>
      </c>
      <c r="B285" s="97" t="s">
        <v>27</v>
      </c>
      <c r="C285" s="96" t="s">
        <v>2543</v>
      </c>
      <c r="D285" s="96" t="s">
        <v>2544</v>
      </c>
      <c r="E285" s="96" t="s">
        <v>1018</v>
      </c>
      <c r="F285" s="96" t="s">
        <v>2545</v>
      </c>
      <c r="G285" s="99" t="s">
        <v>39</v>
      </c>
      <c r="H285" s="100" t="s">
        <v>69</v>
      </c>
      <c r="I285" s="101">
        <v>2014</v>
      </c>
      <c r="J285" s="102" t="str">
        <f>HYPERLINK("http://www.hauskrecht.cz","http://www.hauskrecht.cz")</f>
        <v>http://www.hauskrecht.cz</v>
      </c>
      <c r="K285" s="102" t="str">
        <f>HYPERLINK("https://www.facebook.com/Petr-Hauskrecht-Parní-pivovar-366456056847880","https://www.facebook.com/Petr-Hauskrecht-Parní-pivovar-366456056847880")</f>
        <v>https://www.facebook.com/Petr-Hauskrecht-Parní-pivovar-366456056847880</v>
      </c>
      <c r="L285" s="96" t="s">
        <v>2546</v>
      </c>
      <c r="M285" s="96"/>
      <c r="N285" s="96" t="s">
        <v>2548</v>
      </c>
      <c r="O285" s="96"/>
      <c r="P285" s="96" t="s">
        <v>7761</v>
      </c>
      <c r="Q285" s="96">
        <v>49.187576999999898</v>
      </c>
      <c r="R285" s="96">
        <v>16.6282789999999</v>
      </c>
      <c r="S285" s="100" t="s">
        <v>7447</v>
      </c>
      <c r="T285" s="103" t="s">
        <v>325</v>
      </c>
      <c r="U285" s="103" t="s">
        <v>1017</v>
      </c>
      <c r="V285" s="103" t="s">
        <v>1018</v>
      </c>
      <c r="W285" s="103" t="s">
        <v>1018</v>
      </c>
    </row>
    <row r="286" spans="1:23" ht="15.75" customHeight="1">
      <c r="A286" s="96">
        <v>288</v>
      </c>
      <c r="B286" s="97" t="s">
        <v>27</v>
      </c>
      <c r="C286" s="96" t="s">
        <v>101</v>
      </c>
      <c r="D286" s="96" t="s">
        <v>2551</v>
      </c>
      <c r="E286" s="96" t="s">
        <v>101</v>
      </c>
      <c r="F286" s="96" t="s">
        <v>102</v>
      </c>
      <c r="G286" s="99" t="s">
        <v>39</v>
      </c>
      <c r="H286" s="100" t="s">
        <v>69</v>
      </c>
      <c r="I286" s="101">
        <v>2014</v>
      </c>
      <c r="J286" s="102" t="str">
        <f>HYPERLINK("http://pivovarcvikov.cz","http://pivovarcvikov.cz")</f>
        <v>http://pivovarcvikov.cz</v>
      </c>
      <c r="K286" s="102" t="str">
        <f>HYPERLINK("https://www.facebook.com/pivovarcvikov","https://www.facebook.com/pivovarcvikov")</f>
        <v>https://www.facebook.com/pivovarcvikov</v>
      </c>
      <c r="L286" s="96" t="s">
        <v>106</v>
      </c>
      <c r="M286" s="96"/>
      <c r="N286" s="96" t="s">
        <v>2552</v>
      </c>
      <c r="O286" s="102" t="s">
        <v>2553</v>
      </c>
      <c r="P286" s="96" t="s">
        <v>2554</v>
      </c>
      <c r="Q286" s="96">
        <v>50.777055300000001</v>
      </c>
      <c r="R286" s="96">
        <v>14.642705599999999</v>
      </c>
      <c r="S286" s="100" t="s">
        <v>52</v>
      </c>
      <c r="T286" s="103" t="s">
        <v>67</v>
      </c>
      <c r="U286" s="103" t="s">
        <v>108</v>
      </c>
      <c r="V286" s="103" t="s">
        <v>109</v>
      </c>
      <c r="W286" s="103" t="s">
        <v>101</v>
      </c>
    </row>
    <row r="287" spans="1:23" ht="15.75" customHeight="1">
      <c r="A287" s="96">
        <v>289</v>
      </c>
      <c r="B287" s="97" t="s">
        <v>27</v>
      </c>
      <c r="C287" s="96" t="s">
        <v>2556</v>
      </c>
      <c r="D287" s="96" t="s">
        <v>2557</v>
      </c>
      <c r="E287" s="96" t="s">
        <v>2558</v>
      </c>
      <c r="F287" s="96" t="s">
        <v>2559</v>
      </c>
      <c r="G287" s="99" t="s">
        <v>39</v>
      </c>
      <c r="H287" s="100" t="s">
        <v>89</v>
      </c>
      <c r="I287" s="101" t="s">
        <v>2278</v>
      </c>
      <c r="J287" s="102" t="str">
        <f>HYPERLINK("http://chebbier.vn","http://chebbier.vn")</f>
        <v>http://chebbier.vn</v>
      </c>
      <c r="K287" s="102" t="s">
        <v>2560</v>
      </c>
      <c r="L287" s="96" t="s">
        <v>2561</v>
      </c>
      <c r="M287" s="96"/>
      <c r="N287" s="96" t="s">
        <v>2563</v>
      </c>
      <c r="O287" s="96"/>
      <c r="P287" s="96" t="s">
        <v>7762</v>
      </c>
      <c r="Q287" s="96">
        <v>50.081950999999897</v>
      </c>
      <c r="R287" s="96">
        <v>12.374865</v>
      </c>
      <c r="S287" s="100" t="s">
        <v>52</v>
      </c>
      <c r="T287" s="103" t="s">
        <v>573</v>
      </c>
      <c r="U287" s="103" t="s">
        <v>2558</v>
      </c>
      <c r="V287" s="103" t="s">
        <v>2558</v>
      </c>
      <c r="W287" s="103" t="s">
        <v>2558</v>
      </c>
    </row>
    <row r="288" spans="1:23" ht="15.75" customHeight="1">
      <c r="A288" s="96">
        <v>290</v>
      </c>
      <c r="B288" s="97" t="s">
        <v>27</v>
      </c>
      <c r="C288" s="96" t="s">
        <v>2565</v>
      </c>
      <c r="D288" s="96" t="s">
        <v>2566</v>
      </c>
      <c r="E288" s="96" t="s">
        <v>2567</v>
      </c>
      <c r="F288" s="96" t="s">
        <v>2568</v>
      </c>
      <c r="G288" s="99" t="s">
        <v>39</v>
      </c>
      <c r="H288" s="100" t="s">
        <v>60</v>
      </c>
      <c r="I288" s="101">
        <v>2014</v>
      </c>
      <c r="J288" s="102" t="str">
        <f>HYPERLINK("http://pivovarkosir.cz","http://pivovarkosir.cz")</f>
        <v>http://pivovarkosir.cz</v>
      </c>
      <c r="K288" s="102" t="str">
        <f>HYPERLINK("https://www.facebook.com/pivovarkosir","https://www.facebook.com/pivovarkosir")</f>
        <v>https://www.facebook.com/pivovarkosir</v>
      </c>
      <c r="L288" s="96" t="s">
        <v>2569</v>
      </c>
      <c r="M288" s="96"/>
      <c r="N288" s="96" t="s">
        <v>2571</v>
      </c>
      <c r="O288" s="96"/>
      <c r="P288" s="96" t="s">
        <v>7763</v>
      </c>
      <c r="Q288" s="96">
        <v>49.565182</v>
      </c>
      <c r="R288" s="96">
        <v>17.048691000000002</v>
      </c>
      <c r="S288" s="100" t="s">
        <v>52</v>
      </c>
      <c r="T288" s="103" t="s">
        <v>312</v>
      </c>
      <c r="U288" s="103" t="s">
        <v>1034</v>
      </c>
      <c r="V288" s="103" t="s">
        <v>1034</v>
      </c>
      <c r="W288" s="103" t="s">
        <v>2935</v>
      </c>
    </row>
    <row r="289" spans="1:23" ht="15.75" customHeight="1">
      <c r="A289" s="96">
        <v>291</v>
      </c>
      <c r="B289" s="97" t="s">
        <v>27</v>
      </c>
      <c r="C289" s="96" t="s">
        <v>2573</v>
      </c>
      <c r="D289" s="96" t="s">
        <v>2574</v>
      </c>
      <c r="E289" s="96" t="s">
        <v>2148</v>
      </c>
      <c r="F289" s="96" t="s">
        <v>2575</v>
      </c>
      <c r="G289" s="99" t="s">
        <v>39</v>
      </c>
      <c r="H289" s="100" t="s">
        <v>40</v>
      </c>
      <c r="I289" s="101">
        <v>2014</v>
      </c>
      <c r="J289" s="102" t="str">
        <f>HYPERLINK("http://www.pivovarusvelchu.cz","http://www.pivovarusvelchu.cz")</f>
        <v>http://www.pivovarusvelchu.cz</v>
      </c>
      <c r="K289" s="102" t="str">
        <f>HYPERLINK("https://www.facebook.com/pivovarusvelchu","https://www.facebook.com/pivovarusvelchu")</f>
        <v>https://www.facebook.com/pivovarusvelchu</v>
      </c>
      <c r="L289" s="96" t="s">
        <v>2576</v>
      </c>
      <c r="M289" s="96"/>
      <c r="N289" s="96" t="s">
        <v>2577</v>
      </c>
      <c r="O289" s="96"/>
      <c r="P289" s="96" t="s">
        <v>7764</v>
      </c>
      <c r="Q289" s="96">
        <v>49.229101999999898</v>
      </c>
      <c r="R289" s="96">
        <v>13.5242419999999</v>
      </c>
      <c r="S289" s="100" t="s">
        <v>52</v>
      </c>
      <c r="T289" s="103" t="s">
        <v>217</v>
      </c>
      <c r="U289" s="103" t="s">
        <v>218</v>
      </c>
      <c r="V289" s="103" t="s">
        <v>2148</v>
      </c>
      <c r="W289" s="103" t="s">
        <v>2148</v>
      </c>
    </row>
    <row r="290" spans="1:23" ht="15.75" customHeight="1">
      <c r="A290" s="96">
        <v>292</v>
      </c>
      <c r="B290" s="97" t="s">
        <v>27</v>
      </c>
      <c r="C290" s="96" t="s">
        <v>125</v>
      </c>
      <c r="D290" s="96" t="s">
        <v>2579</v>
      </c>
      <c r="E290" s="100" t="s">
        <v>2947</v>
      </c>
      <c r="F290" s="96" t="s">
        <v>2580</v>
      </c>
      <c r="G290" s="99" t="s">
        <v>39</v>
      </c>
      <c r="H290" s="100" t="s">
        <v>60</v>
      </c>
      <c r="I290" s="101">
        <v>2014</v>
      </c>
      <c r="J290" s="102" t="str">
        <f>HYPERLINK("http://www.albrechtickypivovar.cz","http://www.albrechtickypivovar.cz")</f>
        <v>http://www.albrechtickypivovar.cz</v>
      </c>
      <c r="K290" s="102" t="str">
        <f>HYPERLINK("https://www.facebook.com/albrechtickypivovar","https://www.facebook.com/albrechtickypivovar")</f>
        <v>https://www.facebook.com/albrechtickypivovar</v>
      </c>
      <c r="L290" s="96" t="s">
        <v>130</v>
      </c>
      <c r="M290" s="96" t="s">
        <v>2582</v>
      </c>
      <c r="N290" s="96" t="s">
        <v>2583</v>
      </c>
      <c r="O290" s="107" t="s">
        <v>2952</v>
      </c>
      <c r="P290" s="96" t="s">
        <v>7765</v>
      </c>
      <c r="Q290" s="96">
        <v>49.788537499999997</v>
      </c>
      <c r="R290" s="96">
        <v>18.538271099999999</v>
      </c>
      <c r="S290" s="100" t="s">
        <v>52</v>
      </c>
      <c r="T290" s="103" t="s">
        <v>121</v>
      </c>
      <c r="U290" s="103" t="s">
        <v>132</v>
      </c>
      <c r="V290" s="103" t="s">
        <v>2316</v>
      </c>
      <c r="W290" s="103" t="s">
        <v>2947</v>
      </c>
    </row>
    <row r="291" spans="1:23" ht="15.75" customHeight="1">
      <c r="A291" s="96">
        <v>293</v>
      </c>
      <c r="B291" s="97" t="s">
        <v>27</v>
      </c>
      <c r="C291" s="96" t="s">
        <v>2585</v>
      </c>
      <c r="D291" s="96" t="s">
        <v>2586</v>
      </c>
      <c r="E291" s="96" t="s">
        <v>256</v>
      </c>
      <c r="F291" s="96" t="s">
        <v>2587</v>
      </c>
      <c r="G291" s="99" t="s">
        <v>39</v>
      </c>
      <c r="H291" s="100" t="s">
        <v>60</v>
      </c>
      <c r="I291" s="101">
        <v>2014</v>
      </c>
      <c r="J291" s="102" t="str">
        <f>HYPERLINK("http://www.frankies.cz","http://www.frankies.cz")</f>
        <v>http://www.frankies.cz</v>
      </c>
      <c r="K291" s="102" t="str">
        <f>HYPERLINK("https://www.facebook.com/pivovar.frankies","https://www.facebook.com/pivovar.frankies")</f>
        <v>https://www.facebook.com/pivovar.frankies</v>
      </c>
      <c r="L291" s="96" t="s">
        <v>2588</v>
      </c>
      <c r="M291" s="96"/>
      <c r="N291" s="96" t="s">
        <v>2589</v>
      </c>
      <c r="O291" s="96"/>
      <c r="P291" s="96" t="s">
        <v>7766</v>
      </c>
      <c r="Q291" s="96">
        <v>48.757196</v>
      </c>
      <c r="R291" s="96">
        <v>16.886458999999899</v>
      </c>
      <c r="S291" s="100" t="s">
        <v>7447</v>
      </c>
      <c r="T291" s="103" t="s">
        <v>325</v>
      </c>
      <c r="U291" s="103" t="s">
        <v>256</v>
      </c>
      <c r="V291" s="103" t="s">
        <v>256</v>
      </c>
      <c r="W291" s="103" t="s">
        <v>256</v>
      </c>
    </row>
    <row r="292" spans="1:23" ht="15.75" customHeight="1">
      <c r="A292" s="96">
        <v>294</v>
      </c>
      <c r="B292" s="97" t="s">
        <v>27</v>
      </c>
      <c r="C292" s="96" t="s">
        <v>2591</v>
      </c>
      <c r="D292" s="96" t="s">
        <v>2592</v>
      </c>
      <c r="E292" s="96" t="s">
        <v>2593</v>
      </c>
      <c r="F292" s="96" t="s">
        <v>2594</v>
      </c>
      <c r="G292" s="99" t="s">
        <v>39</v>
      </c>
      <c r="H292" s="100" t="s">
        <v>69</v>
      </c>
      <c r="I292" s="101">
        <v>2014</v>
      </c>
      <c r="J292" s="102" t="str">
        <f>HYPERLINK("http://starobelskypivovar.cz","http://starobelskypivovar.cz")</f>
        <v>http://starobelskypivovar.cz</v>
      </c>
      <c r="K292" s="107" t="s">
        <v>2975</v>
      </c>
      <c r="L292" s="96" t="s">
        <v>2595</v>
      </c>
      <c r="M292" s="96"/>
      <c r="N292" s="96" t="s">
        <v>2591</v>
      </c>
      <c r="O292" s="102" t="s">
        <v>2598</v>
      </c>
      <c r="P292" s="96" t="s">
        <v>7767</v>
      </c>
      <c r="Q292" s="96">
        <v>49.7621609999999</v>
      </c>
      <c r="R292" s="96">
        <v>18.205081</v>
      </c>
      <c r="S292" s="100" t="s">
        <v>52</v>
      </c>
      <c r="T292" s="103" t="s">
        <v>121</v>
      </c>
      <c r="U292" s="103" t="s">
        <v>122</v>
      </c>
      <c r="V292" s="103" t="s">
        <v>123</v>
      </c>
      <c r="W292" s="103" t="s">
        <v>123</v>
      </c>
    </row>
    <row r="293" spans="1:23" ht="15.75" customHeight="1">
      <c r="A293" s="96">
        <v>295</v>
      </c>
      <c r="B293" s="97" t="s">
        <v>27</v>
      </c>
      <c r="C293" s="96" t="s">
        <v>2600</v>
      </c>
      <c r="D293" s="96" t="s">
        <v>2601</v>
      </c>
      <c r="E293" s="96" t="s">
        <v>2602</v>
      </c>
      <c r="F293" s="96" t="s">
        <v>2603</v>
      </c>
      <c r="G293" s="99" t="s">
        <v>39</v>
      </c>
      <c r="H293" s="100" t="s">
        <v>40</v>
      </c>
      <c r="I293" s="101">
        <v>2014</v>
      </c>
      <c r="J293" s="102" t="str">
        <f>HYPERLINK("http://www.vinohradskypivovar.cz","http://www.vinohradskypivovar.cz")</f>
        <v>http://www.vinohradskypivovar.cz</v>
      </c>
      <c r="K293" s="102" t="str">
        <f>HYPERLINK("https://www.facebook.com/vinohradskypivovar","https://www.facebook.com/vinohradskypivovar")</f>
        <v>https://www.facebook.com/vinohradskypivovar</v>
      </c>
      <c r="L293" s="96" t="s">
        <v>2604</v>
      </c>
      <c r="M293" s="96"/>
      <c r="N293" s="96" t="s">
        <v>2606</v>
      </c>
      <c r="O293" s="102" t="s">
        <v>2607</v>
      </c>
      <c r="P293" s="96" t="s">
        <v>7768</v>
      </c>
      <c r="Q293" s="96">
        <v>50.075297999999897</v>
      </c>
      <c r="R293" s="96">
        <v>14.457608</v>
      </c>
      <c r="S293" s="100" t="s">
        <v>52</v>
      </c>
      <c r="T293" s="103" t="s">
        <v>58</v>
      </c>
      <c r="U293" s="103" t="s">
        <v>58</v>
      </c>
      <c r="V293" s="103" t="s">
        <v>58</v>
      </c>
      <c r="W293" s="103" t="s">
        <v>59</v>
      </c>
    </row>
    <row r="294" spans="1:23" ht="15.75" customHeight="1">
      <c r="A294" s="96">
        <v>296</v>
      </c>
      <c r="B294" s="97" t="s">
        <v>27</v>
      </c>
      <c r="C294" s="96" t="s">
        <v>2609</v>
      </c>
      <c r="D294" s="96" t="s">
        <v>2610</v>
      </c>
      <c r="E294" s="96" t="s">
        <v>2611</v>
      </c>
      <c r="F294" s="96" t="s">
        <v>2612</v>
      </c>
      <c r="G294" s="99" t="s">
        <v>39</v>
      </c>
      <c r="H294" s="100" t="s">
        <v>40</v>
      </c>
      <c r="I294" s="101">
        <v>2014</v>
      </c>
      <c r="J294" s="102" t="str">
        <f>HYPERLINK("https://www.pivovarherman.cz","https://www.pivovarherman.cz")</f>
        <v>https://www.pivovarherman.cz</v>
      </c>
      <c r="K294" s="102" t="str">
        <f>HYPERLINK("https://www.facebook.com/pivovarherman","https://www.facebook.com/pivovarherman")</f>
        <v>https://www.facebook.com/pivovarherman</v>
      </c>
      <c r="L294" s="96" t="s">
        <v>2613</v>
      </c>
      <c r="M294" s="96"/>
      <c r="N294" s="96" t="s">
        <v>2609</v>
      </c>
      <c r="O294" s="96"/>
      <c r="P294" s="96" t="s">
        <v>7769</v>
      </c>
      <c r="Q294" s="96">
        <v>49.209966000000001</v>
      </c>
      <c r="R294" s="96">
        <v>15.989493</v>
      </c>
      <c r="S294" s="100" t="s">
        <v>7447</v>
      </c>
      <c r="T294" s="103" t="s">
        <v>144</v>
      </c>
      <c r="U294" s="103" t="s">
        <v>422</v>
      </c>
      <c r="V294" s="103" t="s">
        <v>422</v>
      </c>
      <c r="W294" s="103" t="s">
        <v>2611</v>
      </c>
    </row>
    <row r="295" spans="1:23" ht="15.75" customHeight="1">
      <c r="A295" s="96">
        <v>297</v>
      </c>
      <c r="B295" s="97" t="s">
        <v>27</v>
      </c>
      <c r="C295" s="96" t="s">
        <v>2616</v>
      </c>
      <c r="D295" s="96" t="s">
        <v>2617</v>
      </c>
      <c r="E295" s="96" t="s">
        <v>2618</v>
      </c>
      <c r="F295" s="96" t="s">
        <v>2619</v>
      </c>
      <c r="G295" s="99" t="s">
        <v>39</v>
      </c>
      <c r="H295" s="100" t="s">
        <v>40</v>
      </c>
      <c r="I295" s="101">
        <v>2014</v>
      </c>
      <c r="J295" s="102" t="str">
        <f>HYPERLINK("http://www.pivochomout.cz","http://www.pivochomout.cz")</f>
        <v>http://www.pivochomout.cz</v>
      </c>
      <c r="K295" s="102" t="str">
        <f>HYPERLINK("https://www.facebook.com/Pivovar-Chomout-1399790133609098","https://www.facebook.com/Pivovar-Chomout-1399790133609098")</f>
        <v>https://www.facebook.com/Pivovar-Chomout-1399790133609098</v>
      </c>
      <c r="L295" s="96" t="s">
        <v>2620</v>
      </c>
      <c r="M295" s="96"/>
      <c r="N295" s="96" t="s">
        <v>2622</v>
      </c>
      <c r="O295" s="102" t="s">
        <v>2623</v>
      </c>
      <c r="P295" s="96" t="s">
        <v>7770</v>
      </c>
      <c r="Q295" s="96">
        <v>49.641886999999898</v>
      </c>
      <c r="R295" s="96">
        <v>17.231089000000001</v>
      </c>
      <c r="S295" s="100" t="s">
        <v>52</v>
      </c>
      <c r="T295" s="103" t="s">
        <v>312</v>
      </c>
      <c r="U295" s="103" t="s">
        <v>1034</v>
      </c>
      <c r="V295" s="103" t="s">
        <v>1034</v>
      </c>
      <c r="W295" s="103" t="s">
        <v>1034</v>
      </c>
    </row>
    <row r="296" spans="1:23" ht="15.75" customHeight="1">
      <c r="A296" s="96">
        <v>298</v>
      </c>
      <c r="B296" s="97" t="s">
        <v>27</v>
      </c>
      <c r="C296" s="96" t="s">
        <v>2625</v>
      </c>
      <c r="D296" s="96" t="s">
        <v>2626</v>
      </c>
      <c r="E296" s="96" t="s">
        <v>2627</v>
      </c>
      <c r="F296" s="96" t="s">
        <v>2628</v>
      </c>
      <c r="G296" s="99" t="s">
        <v>39</v>
      </c>
      <c r="H296" s="100" t="s">
        <v>40</v>
      </c>
      <c r="I296" s="101">
        <v>2014</v>
      </c>
      <c r="J296" s="102" t="str">
        <f>HYPERLINK("http://www.hotel-gurman.cz","http://www.hotel-gurman.cz")</f>
        <v>http://www.hotel-gurman.cz</v>
      </c>
      <c r="K296" s="96"/>
      <c r="L296" s="96" t="s">
        <v>2629</v>
      </c>
      <c r="M296" s="96"/>
      <c r="N296" s="96" t="s">
        <v>2630</v>
      </c>
      <c r="O296" s="96"/>
      <c r="P296" s="96" t="s">
        <v>7771</v>
      </c>
      <c r="Q296" s="96">
        <v>49.529935000000002</v>
      </c>
      <c r="R296" s="96">
        <v>12.943161</v>
      </c>
      <c r="S296" s="100" t="s">
        <v>7447</v>
      </c>
      <c r="T296" s="103" t="s">
        <v>217</v>
      </c>
      <c r="U296" s="103" t="s">
        <v>894</v>
      </c>
      <c r="V296" s="103" t="s">
        <v>2627</v>
      </c>
      <c r="W296" s="103" t="s">
        <v>2627</v>
      </c>
    </row>
    <row r="297" spans="1:23" ht="15.75" customHeight="1">
      <c r="A297" s="96">
        <v>299</v>
      </c>
      <c r="B297" s="97" t="s">
        <v>27</v>
      </c>
      <c r="C297" s="96" t="s">
        <v>2633</v>
      </c>
      <c r="D297" s="96" t="s">
        <v>2634</v>
      </c>
      <c r="E297" s="96" t="s">
        <v>2635</v>
      </c>
      <c r="F297" s="96" t="s">
        <v>2636</v>
      </c>
      <c r="G297" s="99" t="s">
        <v>39</v>
      </c>
      <c r="H297" s="100" t="s">
        <v>40</v>
      </c>
      <c r="I297" s="101">
        <v>2014</v>
      </c>
      <c r="J297" s="102" t="str">
        <f>HYPERLINK("http://www.u-cisarske-cesty.cz","http://www.u-cisarske-cesty.cz")</f>
        <v>http://www.u-cisarske-cesty.cz</v>
      </c>
      <c r="K297" s="102" t="str">
        <f>HYPERLINK("https://www.facebook.com/ucisarskecesty","https://www.facebook.com/ucisarskecesty")</f>
        <v>https://www.facebook.com/ucisarskecesty</v>
      </c>
      <c r="L297" s="96" t="s">
        <v>2637</v>
      </c>
      <c r="M297" s="96"/>
      <c r="N297" s="96" t="s">
        <v>2638</v>
      </c>
      <c r="O297" s="102" t="s">
        <v>2639</v>
      </c>
      <c r="P297" s="96" t="s">
        <v>7772</v>
      </c>
      <c r="Q297" s="96">
        <v>49.492812000000001</v>
      </c>
      <c r="R297" s="96">
        <v>17.131274999999899</v>
      </c>
      <c r="S297" s="100" t="s">
        <v>52</v>
      </c>
      <c r="T297" s="103" t="s">
        <v>312</v>
      </c>
      <c r="U297" s="103" t="s">
        <v>622</v>
      </c>
      <c r="V297" s="103" t="s">
        <v>622</v>
      </c>
      <c r="W297" s="103" t="s">
        <v>2635</v>
      </c>
    </row>
    <row r="298" spans="1:23" ht="15.75" customHeight="1">
      <c r="A298" s="96">
        <v>300</v>
      </c>
      <c r="B298" s="97" t="s">
        <v>27</v>
      </c>
      <c r="C298" s="96" t="s">
        <v>2641</v>
      </c>
      <c r="D298" s="96" t="s">
        <v>2642</v>
      </c>
      <c r="E298" s="96" t="s">
        <v>2643</v>
      </c>
      <c r="F298" s="96" t="s">
        <v>2644</v>
      </c>
      <c r="G298" s="99" t="s">
        <v>39</v>
      </c>
      <c r="H298" s="100" t="s">
        <v>40</v>
      </c>
      <c r="I298" s="101">
        <v>2014</v>
      </c>
      <c r="J298" s="102" t="str">
        <f>HYPERLINK("http://eurocentrum-pivnilazne.cz","http://eurocentrum-pivnilazne.cz")</f>
        <v>http://eurocentrum-pivnilazne.cz</v>
      </c>
      <c r="K298" s="102" t="str">
        <f>HYPERLINK("https://www.facebook.com/pplazne","https://www.facebook.com/pplazne")</f>
        <v>https://www.facebook.com/pplazne</v>
      </c>
      <c r="L298" s="96" t="s">
        <v>2645</v>
      </c>
      <c r="M298" s="96" t="s">
        <v>2647</v>
      </c>
      <c r="N298" s="96" t="s">
        <v>2648</v>
      </c>
      <c r="O298" s="96"/>
      <c r="P298" s="96" t="s">
        <v>7773</v>
      </c>
      <c r="Q298" s="96">
        <v>50.280292000000003</v>
      </c>
      <c r="R298" s="96">
        <v>12.84553</v>
      </c>
      <c r="S298" s="100" t="s">
        <v>7447</v>
      </c>
      <c r="T298" s="103" t="s">
        <v>573</v>
      </c>
      <c r="U298" s="103" t="s">
        <v>574</v>
      </c>
      <c r="V298" s="103" t="s">
        <v>574</v>
      </c>
      <c r="W298" s="103" t="s">
        <v>3034</v>
      </c>
    </row>
    <row r="299" spans="1:23" ht="15.75" customHeight="1">
      <c r="A299" s="96">
        <v>301</v>
      </c>
      <c r="B299" s="97" t="s">
        <v>27</v>
      </c>
      <c r="C299" s="96" t="s">
        <v>2651</v>
      </c>
      <c r="D299" s="96" t="s">
        <v>2652</v>
      </c>
      <c r="E299" s="96" t="s">
        <v>2653</v>
      </c>
      <c r="F299" s="96" t="s">
        <v>2654</v>
      </c>
      <c r="G299" s="99" t="s">
        <v>39</v>
      </c>
      <c r="H299" s="100" t="s">
        <v>60</v>
      </c>
      <c r="I299" s="101">
        <v>2014</v>
      </c>
      <c r="J299" s="102" t="str">
        <f>HYPERLINK("http://pivovarjadrnicek.cz","http://pivovarjadrnicek.cz")</f>
        <v>http://pivovarjadrnicek.cz</v>
      </c>
      <c r="K299" s="102" t="str">
        <f>HYPERLINK("https://www.facebook.com/pivovarjadrnicek","https://www.facebook.com/pivovarjadrnicek")</f>
        <v>https://www.facebook.com/pivovarjadrnicek</v>
      </c>
      <c r="L299" s="96" t="s">
        <v>2655</v>
      </c>
      <c r="M299" s="96"/>
      <c r="N299" s="96" t="s">
        <v>2656</v>
      </c>
      <c r="O299" s="96"/>
      <c r="P299" s="96" t="s">
        <v>7774</v>
      </c>
      <c r="Q299" s="96">
        <v>49.601163</v>
      </c>
      <c r="R299" s="96">
        <v>17.068206</v>
      </c>
      <c r="S299" s="100" t="s">
        <v>52</v>
      </c>
      <c r="T299" s="103" t="s">
        <v>312</v>
      </c>
      <c r="U299" s="103" t="s">
        <v>1034</v>
      </c>
      <c r="V299" s="103" t="s">
        <v>1034</v>
      </c>
      <c r="W299" s="103" t="s">
        <v>2653</v>
      </c>
    </row>
    <row r="300" spans="1:23" ht="15.75" customHeight="1">
      <c r="A300" s="96">
        <v>302</v>
      </c>
      <c r="B300" s="97" t="s">
        <v>27</v>
      </c>
      <c r="C300" s="96" t="s">
        <v>2658</v>
      </c>
      <c r="D300" s="96" t="s">
        <v>2659</v>
      </c>
      <c r="E300" s="96" t="s">
        <v>2660</v>
      </c>
      <c r="F300" s="96" t="s">
        <v>2661</v>
      </c>
      <c r="G300" s="99" t="s">
        <v>39</v>
      </c>
      <c r="H300" s="100" t="s">
        <v>69</v>
      </c>
      <c r="I300" s="101">
        <v>2014</v>
      </c>
      <c r="J300" s="102" t="str">
        <f>HYPERLINK("http://www.krusnohor.eu","http://www.krusnohor.eu")</f>
        <v>http://www.krusnohor.eu</v>
      </c>
      <c r="K300" s="102" t="str">
        <f>HYPERLINK("https://www.facebook.com/krusnohor","https://www.facebook.com/krusnohor")</f>
        <v>https://www.facebook.com/krusnohor</v>
      </c>
      <c r="L300" s="96" t="s">
        <v>2662</v>
      </c>
      <c r="M300" s="96" t="s">
        <v>2664</v>
      </c>
      <c r="N300" s="96" t="s">
        <v>2658</v>
      </c>
      <c r="O300" s="96"/>
      <c r="P300" s="96" t="s">
        <v>7775</v>
      </c>
      <c r="Q300" s="96">
        <v>50.348289999999899</v>
      </c>
      <c r="R300" s="96">
        <v>12.511278000000001</v>
      </c>
      <c r="S300" s="100" t="s">
        <v>52</v>
      </c>
      <c r="T300" s="103" t="s">
        <v>573</v>
      </c>
      <c r="U300" s="103" t="s">
        <v>986</v>
      </c>
      <c r="V300" s="103" t="s">
        <v>3058</v>
      </c>
      <c r="W300" s="103" t="s">
        <v>3058</v>
      </c>
    </row>
    <row r="301" spans="1:23" ht="15.75" customHeight="1">
      <c r="A301" s="96">
        <v>303</v>
      </c>
      <c r="B301" s="97" t="s">
        <v>27</v>
      </c>
      <c r="C301" s="96" t="s">
        <v>2667</v>
      </c>
      <c r="D301" s="96" t="s">
        <v>2668</v>
      </c>
      <c r="E301" s="96" t="s">
        <v>2669</v>
      </c>
      <c r="F301" s="96" t="s">
        <v>2670</v>
      </c>
      <c r="G301" s="99" t="s">
        <v>39</v>
      </c>
      <c r="H301" s="100" t="s">
        <v>69</v>
      </c>
      <c r="I301" s="101">
        <v>2015</v>
      </c>
      <c r="J301" s="102" t="str">
        <f>HYPERLINK("http://www.edencentre.cz","http://www.edencentre.cz")</f>
        <v>http://www.edencentre.cz</v>
      </c>
      <c r="K301" s="102" t="str">
        <f>HYPERLINK("https://www.facebook.com/centrumeden","https://www.facebook.com/centrumeden")</f>
        <v>https://www.facebook.com/centrumeden</v>
      </c>
      <c r="L301" s="96" t="s">
        <v>2671</v>
      </c>
      <c r="M301" s="96" t="s">
        <v>2672</v>
      </c>
      <c r="N301" s="96" t="s">
        <v>2673</v>
      </c>
      <c r="O301" s="96"/>
      <c r="P301" s="96" t="s">
        <v>7776</v>
      </c>
      <c r="Q301" s="96">
        <v>49.515694000000003</v>
      </c>
      <c r="R301" s="96">
        <v>16.247696000000001</v>
      </c>
      <c r="S301" s="100" t="s">
        <v>7447</v>
      </c>
      <c r="T301" s="103" t="s">
        <v>144</v>
      </c>
      <c r="U301" s="103" t="s">
        <v>564</v>
      </c>
      <c r="V301" s="103" t="s">
        <v>2669</v>
      </c>
      <c r="W301" s="103" t="s">
        <v>2669</v>
      </c>
    </row>
    <row r="302" spans="1:23" ht="15.75" customHeight="1">
      <c r="A302" s="96">
        <v>304</v>
      </c>
      <c r="B302" s="97" t="s">
        <v>27</v>
      </c>
      <c r="C302" s="96" t="s">
        <v>2675</v>
      </c>
      <c r="D302" s="96" t="s">
        <v>2676</v>
      </c>
      <c r="E302" s="96" t="s">
        <v>2677</v>
      </c>
      <c r="F302" s="96" t="s">
        <v>2678</v>
      </c>
      <c r="G302" s="99" t="s">
        <v>39</v>
      </c>
      <c r="H302" s="100" t="s">
        <v>40</v>
      </c>
      <c r="I302" s="101">
        <v>2015</v>
      </c>
      <c r="J302" s="102" t="str">
        <f>HYPERLINK("http://www.pivovarmonopol.cz","http://www.pivovarmonopol.cz")</f>
        <v>http://www.pivovarmonopol.cz</v>
      </c>
      <c r="K302" s="102" t="str">
        <f>HYPERLINK("https://www.facebook.com/pivovarmonopol","https://www.facebook.com/pivovarmonopol")</f>
        <v>https://www.facebook.com/pivovarmonopol</v>
      </c>
      <c r="L302" s="96" t="s">
        <v>2679</v>
      </c>
      <c r="M302" s="96"/>
      <c r="N302" s="96" t="s">
        <v>2680</v>
      </c>
      <c r="O302" s="102" t="s">
        <v>2681</v>
      </c>
      <c r="P302" s="96" t="s">
        <v>7777</v>
      </c>
      <c r="Q302" s="96">
        <v>50.643003999999898</v>
      </c>
      <c r="R302" s="96">
        <v>13.829796</v>
      </c>
      <c r="S302" s="100" t="s">
        <v>52</v>
      </c>
      <c r="T302" s="103" t="s">
        <v>353</v>
      </c>
      <c r="U302" s="103" t="s">
        <v>2677</v>
      </c>
      <c r="V302" s="103" t="s">
        <v>2677</v>
      </c>
      <c r="W302" s="103" t="s">
        <v>2677</v>
      </c>
    </row>
    <row r="303" spans="1:23" ht="15.75" customHeight="1">
      <c r="A303" s="96">
        <v>305</v>
      </c>
      <c r="B303" s="97" t="s">
        <v>27</v>
      </c>
      <c r="C303" s="96" t="s">
        <v>2683</v>
      </c>
      <c r="D303" s="96" t="s">
        <v>2684</v>
      </c>
      <c r="E303" s="96" t="s">
        <v>2685</v>
      </c>
      <c r="F303" s="96" t="s">
        <v>2686</v>
      </c>
      <c r="G303" s="99" t="s">
        <v>39</v>
      </c>
      <c r="H303" s="100" t="s">
        <v>60</v>
      </c>
      <c r="I303" s="101">
        <v>2015</v>
      </c>
      <c r="J303" s="102" t="str">
        <f>HYPERLINK("http://www.vildenberg.cz","http://www.vildenberg.cz")</f>
        <v>http://www.vildenberg.cz</v>
      </c>
      <c r="K303" s="102" t="str">
        <f>HYPERLINK("https://www.facebook.com/Hradsk%C3%A1-Restaurace-%C5%A0umick%C3%BD-Pivovar-1378920342421522","https://www.facebook.com/Hradsk%C3%A1-Restaurace-%C5%A0umick%C3%BD-Pivovar-1378920342421522")</f>
        <v>https://www.facebook.com/Hradsk%C3%A1-Restaurace-%C5%A0umick%C3%BD-Pivovar-1378920342421522</v>
      </c>
      <c r="L303" s="96" t="s">
        <v>2689</v>
      </c>
      <c r="M303" s="96"/>
      <c r="N303" s="96" t="s">
        <v>2690</v>
      </c>
      <c r="O303" s="102" t="s">
        <v>2692</v>
      </c>
      <c r="P303" s="96" t="s">
        <v>7778</v>
      </c>
      <c r="Q303" s="96">
        <v>49.214019</v>
      </c>
      <c r="R303" s="96">
        <v>16.823775999999899</v>
      </c>
      <c r="S303" s="100" t="s">
        <v>52</v>
      </c>
      <c r="T303" s="103" t="s">
        <v>325</v>
      </c>
      <c r="U303" s="103" t="s">
        <v>952</v>
      </c>
      <c r="V303" s="103" t="s">
        <v>1589</v>
      </c>
      <c r="W303" s="103" t="s">
        <v>2685</v>
      </c>
    </row>
    <row r="304" spans="1:23" ht="15.75" customHeight="1">
      <c r="A304" s="96">
        <v>306</v>
      </c>
      <c r="B304" s="97" t="s">
        <v>27</v>
      </c>
      <c r="C304" s="96" t="s">
        <v>2694</v>
      </c>
      <c r="D304" s="96" t="s">
        <v>2695</v>
      </c>
      <c r="E304" s="96" t="s">
        <v>2696</v>
      </c>
      <c r="F304" s="96" t="s">
        <v>2697</v>
      </c>
      <c r="G304" s="99" t="s">
        <v>39</v>
      </c>
      <c r="H304" s="100" t="s">
        <v>69</v>
      </c>
      <c r="I304" s="101">
        <v>2015</v>
      </c>
      <c r="J304" s="102" t="str">
        <f>HYPERLINK("http://www.velickybombardak.cz","http://www.velickybombardak.cz")</f>
        <v>http://www.velickybombardak.cz</v>
      </c>
      <c r="K304" s="102" t="str">
        <f>HYPERLINK("https://www.facebook.com/velickybombardak","https://www.facebook.com/velickybombardak")</f>
        <v>https://www.facebook.com/velickybombardak</v>
      </c>
      <c r="L304" s="96" t="s">
        <v>2698</v>
      </c>
      <c r="M304" s="96"/>
      <c r="N304" s="96" t="s">
        <v>2700</v>
      </c>
      <c r="O304" s="107" t="s">
        <v>3089</v>
      </c>
      <c r="P304" s="96" t="s">
        <v>7779</v>
      </c>
      <c r="Q304" s="96">
        <v>48.879479000000003</v>
      </c>
      <c r="R304" s="96">
        <v>17.520591</v>
      </c>
      <c r="S304" s="100" t="s">
        <v>52</v>
      </c>
      <c r="T304" s="103" t="s">
        <v>325</v>
      </c>
      <c r="U304" s="103" t="s">
        <v>819</v>
      </c>
      <c r="V304" s="103" t="s">
        <v>3093</v>
      </c>
      <c r="W304" s="103" t="s">
        <v>2696</v>
      </c>
    </row>
    <row r="305" spans="1:23" ht="15.75" customHeight="1">
      <c r="A305" s="96">
        <v>307</v>
      </c>
      <c r="B305" s="97" t="s">
        <v>27</v>
      </c>
      <c r="C305" s="96" t="s">
        <v>976</v>
      </c>
      <c r="D305" s="96" t="s">
        <v>2703</v>
      </c>
      <c r="E305" s="96" t="s">
        <v>976</v>
      </c>
      <c r="F305" s="96" t="s">
        <v>2704</v>
      </c>
      <c r="G305" s="99" t="s">
        <v>39</v>
      </c>
      <c r="H305" s="100" t="s">
        <v>40</v>
      </c>
      <c r="I305" s="101">
        <v>2015</v>
      </c>
      <c r="J305" s="102" t="str">
        <f>HYPERLINK("http://www.pivovarprachatice.cz","http://www.pivovarprachatice.cz")</f>
        <v>http://www.pivovarprachatice.cz</v>
      </c>
      <c r="K305" s="102" t="str">
        <f>HYPERLINK("https://www.facebook.com/PivovarPrachatice","https://www.facebook.com/PivovarPrachatice")</f>
        <v>https://www.facebook.com/PivovarPrachatice</v>
      </c>
      <c r="L305" s="96" t="s">
        <v>2705</v>
      </c>
      <c r="M305" s="96"/>
      <c r="N305" s="96" t="s">
        <v>2707</v>
      </c>
      <c r="O305" s="96"/>
      <c r="P305" s="96" t="s">
        <v>7780</v>
      </c>
      <c r="Q305" s="96">
        <v>49.012211999999899</v>
      </c>
      <c r="R305" s="96">
        <v>13.9969059999999</v>
      </c>
      <c r="S305" s="100" t="s">
        <v>52</v>
      </c>
      <c r="T305" s="103" t="s">
        <v>369</v>
      </c>
      <c r="U305" s="103" t="s">
        <v>976</v>
      </c>
      <c r="V305" s="103" t="s">
        <v>976</v>
      </c>
      <c r="W305" s="103" t="s">
        <v>976</v>
      </c>
    </row>
    <row r="306" spans="1:23" ht="15.75" customHeight="1">
      <c r="A306" s="96">
        <v>308</v>
      </c>
      <c r="B306" s="97" t="s">
        <v>27</v>
      </c>
      <c r="C306" s="96" t="s">
        <v>2709</v>
      </c>
      <c r="D306" s="96" t="s">
        <v>2710</v>
      </c>
      <c r="E306" s="96" t="s">
        <v>2711</v>
      </c>
      <c r="F306" s="96" t="s">
        <v>2712</v>
      </c>
      <c r="G306" s="99" t="s">
        <v>39</v>
      </c>
      <c r="H306" s="100" t="s">
        <v>69</v>
      </c>
      <c r="I306" s="101">
        <v>2015</v>
      </c>
      <c r="J306" s="96"/>
      <c r="K306" s="102" t="s">
        <v>2713</v>
      </c>
      <c r="L306" s="96" t="s">
        <v>2714</v>
      </c>
      <c r="M306" s="96"/>
      <c r="N306" s="96" t="s">
        <v>2709</v>
      </c>
      <c r="O306" s="96"/>
      <c r="P306" s="96" t="s">
        <v>7781</v>
      </c>
      <c r="Q306" s="96">
        <v>48.901204999999898</v>
      </c>
      <c r="R306" s="96">
        <v>16.059909000000001</v>
      </c>
      <c r="S306" s="100" t="s">
        <v>52</v>
      </c>
      <c r="T306" s="103" t="s">
        <v>325</v>
      </c>
      <c r="U306" s="103" t="s">
        <v>555</v>
      </c>
      <c r="V306" s="103" t="s">
        <v>555</v>
      </c>
      <c r="W306" s="103" t="s">
        <v>2711</v>
      </c>
    </row>
    <row r="307" spans="1:23" ht="15.75" customHeight="1">
      <c r="A307" s="96">
        <v>309</v>
      </c>
      <c r="B307" s="97" t="s">
        <v>27</v>
      </c>
      <c r="C307" s="96" t="s">
        <v>2717</v>
      </c>
      <c r="D307" s="96" t="s">
        <v>2718</v>
      </c>
      <c r="E307" s="96" t="s">
        <v>2719</v>
      </c>
      <c r="F307" s="96" t="s">
        <v>2720</v>
      </c>
      <c r="G307" s="99" t="s">
        <v>39</v>
      </c>
      <c r="H307" s="100" t="s">
        <v>60</v>
      </c>
      <c r="I307" s="101">
        <v>2015</v>
      </c>
      <c r="J307" s="102" t="str">
        <f>HYPERLINK("http://www.pivovarnovedvory.cz","http://www.pivovarnovedvory.cz")</f>
        <v>http://www.pivovarnovedvory.cz</v>
      </c>
      <c r="K307" s="102" t="str">
        <f>HYPERLINK("https://www.facebook.com/novodvorskypivovar","https://www.facebook.com/novodvorskypivovar")</f>
        <v>https://www.facebook.com/novodvorskypivovar</v>
      </c>
      <c r="L307" s="96" t="s">
        <v>2721</v>
      </c>
      <c r="M307" s="96" t="s">
        <v>2723</v>
      </c>
      <c r="N307" s="96" t="s">
        <v>2724</v>
      </c>
      <c r="O307" s="107" t="s">
        <v>3101</v>
      </c>
      <c r="P307" s="96" t="s">
        <v>7782</v>
      </c>
      <c r="Q307" s="96">
        <v>49.502132000000003</v>
      </c>
      <c r="R307" s="96">
        <v>17.572724000000001</v>
      </c>
      <c r="S307" s="100" t="s">
        <v>52</v>
      </c>
      <c r="T307" s="103" t="s">
        <v>312</v>
      </c>
      <c r="U307" s="103" t="s">
        <v>1153</v>
      </c>
      <c r="V307" s="103" t="s">
        <v>1267</v>
      </c>
      <c r="W307" s="103" t="s">
        <v>1267</v>
      </c>
    </row>
    <row r="308" spans="1:23" ht="15.75" customHeight="1">
      <c r="A308" s="96">
        <v>310</v>
      </c>
      <c r="B308" s="97" t="s">
        <v>27</v>
      </c>
      <c r="C308" s="96" t="s">
        <v>2726</v>
      </c>
      <c r="D308" s="96" t="s">
        <v>2727</v>
      </c>
      <c r="E308" s="96" t="s">
        <v>1903</v>
      </c>
      <c r="F308" s="96" t="s">
        <v>2728</v>
      </c>
      <c r="G308" s="99" t="s">
        <v>39</v>
      </c>
      <c r="H308" s="100" t="s">
        <v>40</v>
      </c>
      <c r="I308" s="101">
        <v>2015</v>
      </c>
      <c r="J308" s="102" t="str">
        <f>HYPERLINK("http://www.polivar.cz","http://www.polivar.cz")</f>
        <v>http://www.polivar.cz</v>
      </c>
      <c r="K308" s="102" t="str">
        <f>HYPERLINK("https://www.facebook.com/minipivovarpolivar","https://www.facebook.com/minipivovarpolivar")</f>
        <v>https://www.facebook.com/minipivovarpolivar</v>
      </c>
      <c r="L308" s="96" t="s">
        <v>2729</v>
      </c>
      <c r="M308" s="96"/>
      <c r="N308" s="96" t="s">
        <v>2730</v>
      </c>
      <c r="O308" s="102" t="s">
        <v>2731</v>
      </c>
      <c r="P308" s="96" t="s">
        <v>7783</v>
      </c>
      <c r="Q308" s="96">
        <v>49.602406000000002</v>
      </c>
      <c r="R308" s="96">
        <v>18.148071000000002</v>
      </c>
      <c r="S308" s="100" t="s">
        <v>52</v>
      </c>
      <c r="T308" s="103" t="s">
        <v>121</v>
      </c>
      <c r="U308" s="103" t="s">
        <v>1902</v>
      </c>
      <c r="V308" s="103" t="s">
        <v>1903</v>
      </c>
      <c r="W308" s="103" t="s">
        <v>1903</v>
      </c>
    </row>
    <row r="309" spans="1:23" ht="15.75" customHeight="1">
      <c r="A309" s="96">
        <v>311</v>
      </c>
      <c r="B309" s="97" t="s">
        <v>27</v>
      </c>
      <c r="C309" s="96" t="s">
        <v>2733</v>
      </c>
      <c r="D309" s="96" t="s">
        <v>2734</v>
      </c>
      <c r="E309" s="96" t="s">
        <v>2735</v>
      </c>
      <c r="F309" s="96" t="s">
        <v>2736</v>
      </c>
      <c r="G309" s="99" t="s">
        <v>39</v>
      </c>
      <c r="H309" s="100" t="s">
        <v>40</v>
      </c>
      <c r="I309" s="101">
        <v>2015</v>
      </c>
      <c r="J309" s="102" t="str">
        <f>HYPERLINK("http://www.racin.cz","http://www.racin.cz")</f>
        <v>http://www.racin.cz</v>
      </c>
      <c r="K309" s="102" t="str">
        <f>HYPERLINK("https://www.facebook.com/racinskyminipivovar","https://www.facebook.com/racinskyminipivovar")</f>
        <v>https://www.facebook.com/racinskyminipivovar</v>
      </c>
      <c r="L309" s="96" t="s">
        <v>2737</v>
      </c>
      <c r="M309" s="96" t="s">
        <v>2738</v>
      </c>
      <c r="N309" s="96" t="s">
        <v>1410</v>
      </c>
      <c r="O309" s="96"/>
      <c r="P309" s="96" t="s">
        <v>7784</v>
      </c>
      <c r="Q309" s="96">
        <v>49.617151999999898</v>
      </c>
      <c r="R309" s="96">
        <v>15.867213</v>
      </c>
      <c r="S309" s="100" t="s">
        <v>52</v>
      </c>
      <c r="T309" s="103" t="s">
        <v>144</v>
      </c>
      <c r="U309" s="103" t="s">
        <v>564</v>
      </c>
      <c r="V309" s="103" t="s">
        <v>564</v>
      </c>
      <c r="W309" s="103" t="s">
        <v>2735</v>
      </c>
    </row>
    <row r="310" spans="1:23" ht="15.75" customHeight="1">
      <c r="A310" s="96">
        <v>312</v>
      </c>
      <c r="B310" s="97" t="s">
        <v>27</v>
      </c>
      <c r="C310" s="96" t="s">
        <v>2741</v>
      </c>
      <c r="D310" s="96" t="s">
        <v>2742</v>
      </c>
      <c r="E310" s="96" t="s">
        <v>2743</v>
      </c>
      <c r="F310" s="96" t="s">
        <v>2744</v>
      </c>
      <c r="G310" s="99" t="s">
        <v>39</v>
      </c>
      <c r="H310" s="100" t="s">
        <v>60</v>
      </c>
      <c r="I310" s="101">
        <v>2015</v>
      </c>
      <c r="J310" s="102" t="str">
        <f>HYPERLINK("http://www.minipivovarpalicak.cz","http://www.minipivovarpalicak.cz")</f>
        <v>http://www.minipivovarpalicak.cz</v>
      </c>
      <c r="K310" s="107" t="s">
        <v>3116</v>
      </c>
      <c r="L310" s="96" t="s">
        <v>2745</v>
      </c>
      <c r="M310" s="96"/>
      <c r="N310" s="96" t="s">
        <v>2746</v>
      </c>
      <c r="O310" s="96"/>
      <c r="P310" s="96" t="s">
        <v>7785</v>
      </c>
      <c r="Q310" s="96">
        <v>49.550458999999897</v>
      </c>
      <c r="R310" s="96">
        <v>17.9223339999999</v>
      </c>
      <c r="S310" s="100" t="s">
        <v>52</v>
      </c>
      <c r="T310" s="103" t="s">
        <v>121</v>
      </c>
      <c r="U310" s="103" t="s">
        <v>1902</v>
      </c>
      <c r="V310" s="103" t="s">
        <v>1902</v>
      </c>
      <c r="W310" s="103" t="s">
        <v>3120</v>
      </c>
    </row>
    <row r="311" spans="1:23" ht="15.75" customHeight="1">
      <c r="A311" s="96">
        <v>313</v>
      </c>
      <c r="B311" s="97" t="s">
        <v>27</v>
      </c>
      <c r="C311" s="96" t="s">
        <v>2748</v>
      </c>
      <c r="D311" s="96" t="s">
        <v>2749</v>
      </c>
      <c r="E311" s="96" t="s">
        <v>711</v>
      </c>
      <c r="F311" s="96" t="s">
        <v>2750</v>
      </c>
      <c r="G311" s="99" t="s">
        <v>39</v>
      </c>
      <c r="H311" s="100" t="s">
        <v>89</v>
      </c>
      <c r="I311" s="101" t="s">
        <v>3121</v>
      </c>
      <c r="J311" s="102" t="str">
        <f>HYPERLINK("http://www.pivovarudobrenskych.cz","http://www.pivovarudobrenskych.cz")</f>
        <v>http://www.pivovarudobrenskych.cz</v>
      </c>
      <c r="K311" s="102" t="str">
        <f>HYPERLINK("https://www.facebook.com/pivovarudobrenskych","https://www.facebook.com/pivovarudobrenskych")</f>
        <v>https://www.facebook.com/pivovarudobrenskych</v>
      </c>
      <c r="L311" s="96" t="s">
        <v>2751</v>
      </c>
      <c r="M311" s="96"/>
      <c r="N311" s="96" t="s">
        <v>2752</v>
      </c>
      <c r="O311" s="96"/>
      <c r="P311" s="96" t="s">
        <v>7786</v>
      </c>
      <c r="Q311" s="96">
        <v>50.084063999999898</v>
      </c>
      <c r="R311" s="96">
        <v>14.415559</v>
      </c>
      <c r="S311" s="100" t="s">
        <v>52</v>
      </c>
      <c r="T311" s="103" t="s">
        <v>58</v>
      </c>
      <c r="U311" s="103" t="s">
        <v>58</v>
      </c>
      <c r="V311" s="103" t="s">
        <v>58</v>
      </c>
      <c r="W311" s="103" t="s">
        <v>59</v>
      </c>
    </row>
    <row r="312" spans="1:23" ht="15.75" customHeight="1">
      <c r="A312" s="96">
        <v>314</v>
      </c>
      <c r="B312" s="97" t="s">
        <v>27</v>
      </c>
      <c r="C312" s="96" t="s">
        <v>2754</v>
      </c>
      <c r="D312" s="96" t="s">
        <v>2755</v>
      </c>
      <c r="E312" s="96" t="s">
        <v>1140</v>
      </c>
      <c r="F312" s="96" t="s">
        <v>2756</v>
      </c>
      <c r="G312" s="99" t="s">
        <v>39</v>
      </c>
      <c r="H312" s="100" t="s">
        <v>60</v>
      </c>
      <c r="I312" s="101">
        <v>2015</v>
      </c>
      <c r="J312" s="102" t="str">
        <f>HYPERLINK("http://www.pivovar-raven.cz","http://www.pivovar-raven.cz")</f>
        <v>http://www.pivovar-raven.cz</v>
      </c>
      <c r="K312" s="102" t="str">
        <f>HYPERLINK("https://www.facebook.com/pivoraven","https://www.facebook.com/pivoraven")</f>
        <v>https://www.facebook.com/pivoraven</v>
      </c>
      <c r="L312" s="96" t="s">
        <v>2757</v>
      </c>
      <c r="M312" s="96" t="s">
        <v>2758</v>
      </c>
      <c r="N312" s="96" t="s">
        <v>2759</v>
      </c>
      <c r="O312" s="96"/>
      <c r="P312" s="96" t="s">
        <v>7787</v>
      </c>
      <c r="Q312" s="96">
        <v>49.769025999999897</v>
      </c>
      <c r="R312" s="96">
        <v>13.375842</v>
      </c>
      <c r="S312" s="100" t="s">
        <v>7447</v>
      </c>
      <c r="T312" s="103" t="s">
        <v>217</v>
      </c>
      <c r="U312" s="103" t="s">
        <v>1139</v>
      </c>
      <c r="V312" s="103" t="s">
        <v>1140</v>
      </c>
      <c r="W312" s="103" t="s">
        <v>1140</v>
      </c>
    </row>
    <row r="313" spans="1:23" ht="15.75" customHeight="1">
      <c r="A313" s="96">
        <v>315</v>
      </c>
      <c r="B313" s="97" t="s">
        <v>27</v>
      </c>
      <c r="C313" s="96" t="s">
        <v>2762</v>
      </c>
      <c r="D313" s="96" t="s">
        <v>2763</v>
      </c>
      <c r="E313" s="96" t="s">
        <v>2764</v>
      </c>
      <c r="F313" s="96" t="s">
        <v>2765</v>
      </c>
      <c r="G313" s="99" t="s">
        <v>39</v>
      </c>
      <c r="H313" s="100" t="s">
        <v>69</v>
      </c>
      <c r="I313" s="101">
        <v>2015</v>
      </c>
      <c r="J313" s="102" t="str">
        <f>HYPERLINK("http://www.nachmelenaopice.cz","http://www.nachmelenaopice.cz")</f>
        <v>http://www.nachmelenaopice.cz</v>
      </c>
      <c r="K313" s="102" t="str">
        <f>HYPERLINK("https://www.facebook.com/nachmelenaopice","https://www.facebook.com/nachmelenaopice")</f>
        <v>https://www.facebook.com/nachmelenaopice</v>
      </c>
      <c r="L313" s="96" t="s">
        <v>2766</v>
      </c>
      <c r="M313" s="96"/>
      <c r="N313" s="96" t="s">
        <v>2768</v>
      </c>
      <c r="O313" s="96"/>
      <c r="P313" s="96" t="s">
        <v>7788</v>
      </c>
      <c r="Q313" s="96">
        <v>50.087499999999999</v>
      </c>
      <c r="R313" s="96">
        <v>17.702606400000001</v>
      </c>
      <c r="S313" s="100" t="s">
        <v>7447</v>
      </c>
      <c r="T313" s="103" t="s">
        <v>121</v>
      </c>
      <c r="U313" s="103" t="s">
        <v>466</v>
      </c>
      <c r="V313" s="103" t="s">
        <v>2764</v>
      </c>
      <c r="W313" s="103" t="s">
        <v>2764</v>
      </c>
    </row>
    <row r="314" spans="1:23" ht="15.75" customHeight="1">
      <c r="A314" s="96">
        <v>316</v>
      </c>
      <c r="B314" s="97" t="s">
        <v>27</v>
      </c>
      <c r="C314" s="96" t="s">
        <v>2770</v>
      </c>
      <c r="D314" s="96" t="s">
        <v>2771</v>
      </c>
      <c r="E314" s="96" t="s">
        <v>1140</v>
      </c>
      <c r="F314" s="96" t="s">
        <v>2772</v>
      </c>
      <c r="G314" s="99" t="s">
        <v>39</v>
      </c>
      <c r="H314" s="100" t="s">
        <v>40</v>
      </c>
      <c r="I314" s="101">
        <v>2016</v>
      </c>
      <c r="J314" s="102" t="str">
        <f>HYPERLINK("http://beerfactoryplzen.cz","http://beerfactoryplzen.cz")</f>
        <v>http://beerfactoryplzen.cz</v>
      </c>
      <c r="K314" s="102" t="str">
        <f>HYPERLINK("https://www.facebook.com/BeerFactoryPlzen","https://www.facebook.com/BeerFactoryPlzen")</f>
        <v>https://www.facebook.com/BeerFactoryPlzen</v>
      </c>
      <c r="L314" s="96" t="s">
        <v>2774</v>
      </c>
      <c r="M314" s="96"/>
      <c r="N314" s="96" t="s">
        <v>2776</v>
      </c>
      <c r="O314" s="96"/>
      <c r="P314" s="96" t="s">
        <v>7789</v>
      </c>
      <c r="Q314" s="96">
        <v>49.7488379999999</v>
      </c>
      <c r="R314" s="96">
        <v>13.3775569999999</v>
      </c>
      <c r="S314" s="100" t="s">
        <v>7447</v>
      </c>
      <c r="T314" s="103" t="s">
        <v>217</v>
      </c>
      <c r="U314" s="103" t="s">
        <v>1139</v>
      </c>
      <c r="V314" s="103" t="s">
        <v>1140</v>
      </c>
      <c r="W314" s="103" t="s">
        <v>1140</v>
      </c>
    </row>
    <row r="315" spans="1:23" ht="15.75" customHeight="1">
      <c r="A315" s="96">
        <v>317</v>
      </c>
      <c r="B315" s="97" t="s">
        <v>27</v>
      </c>
      <c r="C315" s="96" t="s">
        <v>2778</v>
      </c>
      <c r="D315" s="96" t="s">
        <v>2779</v>
      </c>
      <c r="E315" s="96" t="s">
        <v>2780</v>
      </c>
      <c r="F315" s="96" t="s">
        <v>2781</v>
      </c>
      <c r="G315" s="99" t="s">
        <v>39</v>
      </c>
      <c r="H315" s="100" t="s">
        <v>69</v>
      </c>
      <c r="I315" s="101">
        <v>2016</v>
      </c>
      <c r="J315" s="102" t="str">
        <f>HYPERLINK("http://hoppydog.cz","http://hoppydog.cz")</f>
        <v>http://hoppydog.cz</v>
      </c>
      <c r="K315" s="102" t="str">
        <f>HYPERLINK("https://www.facebook.com/PivovarHoppyDog","https://www.facebook.com/PivovarHoppyDog")</f>
        <v>https://www.facebook.com/PivovarHoppyDog</v>
      </c>
      <c r="L315" s="96" t="s">
        <v>2783</v>
      </c>
      <c r="M315" s="96"/>
      <c r="N315" s="96" t="s">
        <v>2785</v>
      </c>
      <c r="O315" s="102" t="s">
        <v>2787</v>
      </c>
      <c r="P315" s="96" t="s">
        <v>7790</v>
      </c>
      <c r="Q315" s="96">
        <v>49.812076699999999</v>
      </c>
      <c r="R315" s="96">
        <v>18.2728264</v>
      </c>
      <c r="S315" s="100" t="s">
        <v>52</v>
      </c>
      <c r="T315" s="103" t="s">
        <v>121</v>
      </c>
      <c r="U315" s="103" t="s">
        <v>122</v>
      </c>
      <c r="V315" s="103" t="s">
        <v>123</v>
      </c>
      <c r="W315" s="103" t="s">
        <v>123</v>
      </c>
    </row>
    <row r="316" spans="1:23" ht="15.75" customHeight="1">
      <c r="A316" s="96">
        <v>318</v>
      </c>
      <c r="B316" s="97" t="s">
        <v>27</v>
      </c>
      <c r="C316" s="96" t="s">
        <v>2789</v>
      </c>
      <c r="D316" s="96" t="s">
        <v>2790</v>
      </c>
      <c r="E316" s="96" t="s">
        <v>2791</v>
      </c>
      <c r="F316" s="96" t="s">
        <v>2792</v>
      </c>
      <c r="G316" s="99" t="s">
        <v>39</v>
      </c>
      <c r="H316" s="100" t="s">
        <v>89</v>
      </c>
      <c r="I316" s="101" t="s">
        <v>3164</v>
      </c>
      <c r="J316" s="96" t="s">
        <v>2793</v>
      </c>
      <c r="K316" s="96" t="s">
        <v>2794</v>
      </c>
      <c r="L316" s="96" t="s">
        <v>2795</v>
      </c>
      <c r="M316" s="96"/>
      <c r="N316" s="96" t="s">
        <v>2797</v>
      </c>
      <c r="O316" s="96"/>
      <c r="P316" s="96" t="s">
        <v>7791</v>
      </c>
      <c r="Q316" s="101">
        <v>49.549587000000002</v>
      </c>
      <c r="R316" s="101">
        <v>16.225258</v>
      </c>
      <c r="S316" s="100" t="s">
        <v>52</v>
      </c>
      <c r="T316" s="103" t="s">
        <v>144</v>
      </c>
      <c r="U316" s="103" t="s">
        <v>564</v>
      </c>
      <c r="V316" s="103" t="s">
        <v>2669</v>
      </c>
      <c r="W316" s="103" t="s">
        <v>2669</v>
      </c>
    </row>
    <row r="317" spans="1:23" ht="15.75" customHeight="1">
      <c r="A317" s="96">
        <v>319</v>
      </c>
      <c r="B317" s="97" t="s">
        <v>27</v>
      </c>
      <c r="C317" s="96" t="s">
        <v>2799</v>
      </c>
      <c r="D317" s="96" t="s">
        <v>2800</v>
      </c>
      <c r="E317" s="96" t="s">
        <v>711</v>
      </c>
      <c r="F317" s="96" t="s">
        <v>2801</v>
      </c>
      <c r="G317" s="99" t="s">
        <v>39</v>
      </c>
      <c r="H317" s="100" t="s">
        <v>40</v>
      </c>
      <c r="I317" s="101">
        <v>2016</v>
      </c>
      <c r="J317" s="102" t="str">
        <f>HYPERLINK("https://www.pivovarusupa.cz","https://www.pivovarusupa.cz")</f>
        <v>https://www.pivovarusupa.cz</v>
      </c>
      <c r="K317" s="102" t="str">
        <f>HYPERLINK("https://www.facebook.com/pivovarusupa","https://www.facebook.com/pivovarusupa")</f>
        <v>https://www.facebook.com/pivovarusupa</v>
      </c>
      <c r="L317" s="96" t="s">
        <v>2803</v>
      </c>
      <c r="M317" s="96"/>
      <c r="N317" s="96" t="s">
        <v>2804</v>
      </c>
      <c r="O317" s="102" t="s">
        <v>2805</v>
      </c>
      <c r="P317" s="96" t="s">
        <v>7792</v>
      </c>
      <c r="Q317" s="96">
        <v>50.0871</v>
      </c>
      <c r="R317" s="96">
        <v>14.424417</v>
      </c>
      <c r="S317" s="100" t="s">
        <v>52</v>
      </c>
      <c r="T317" s="103" t="s">
        <v>58</v>
      </c>
      <c r="U317" s="103" t="s">
        <v>58</v>
      </c>
      <c r="V317" s="103" t="s">
        <v>58</v>
      </c>
      <c r="W317" s="103" t="s">
        <v>59</v>
      </c>
    </row>
    <row r="318" spans="1:23" ht="15.75" customHeight="1">
      <c r="A318" s="96">
        <v>320</v>
      </c>
      <c r="B318" s="97" t="s">
        <v>27</v>
      </c>
      <c r="C318" s="96" t="s">
        <v>2807</v>
      </c>
      <c r="D318" s="96" t="s">
        <v>2808</v>
      </c>
      <c r="E318" s="96" t="s">
        <v>276</v>
      </c>
      <c r="F318" s="96" t="s">
        <v>2809</v>
      </c>
      <c r="G318" s="99" t="s">
        <v>39</v>
      </c>
      <c r="H318" s="100" t="s">
        <v>60</v>
      </c>
      <c r="I318" s="101">
        <v>2016</v>
      </c>
      <c r="J318" s="102" t="str">
        <f>HYPERLINK("http://www.mouchapivo.cz","http://www.mouchapivo.cz")</f>
        <v>http://www.mouchapivo.cz</v>
      </c>
      <c r="K318" s="102" t="str">
        <f>HYPERLINK("https://www.facebook.com/Mouchapivo","https://www.facebook.com/Mouchapivo")</f>
        <v>https://www.facebook.com/Mouchapivo</v>
      </c>
      <c r="L318" s="96" t="s">
        <v>2810</v>
      </c>
      <c r="M318" s="96"/>
      <c r="N318" s="96" t="s">
        <v>2812</v>
      </c>
      <c r="O318" s="96"/>
      <c r="P318" s="96" t="s">
        <v>7793</v>
      </c>
      <c r="Q318" s="96">
        <v>50.029732000000003</v>
      </c>
      <c r="R318" s="96">
        <v>14.409359</v>
      </c>
      <c r="S318" s="100" t="s">
        <v>7447</v>
      </c>
      <c r="T318" s="103" t="s">
        <v>58</v>
      </c>
      <c r="U318" s="103" t="s">
        <v>58</v>
      </c>
      <c r="V318" s="103" t="s">
        <v>58</v>
      </c>
      <c r="W318" s="103" t="s">
        <v>59</v>
      </c>
    </row>
    <row r="319" spans="1:23" ht="15.75" customHeight="1">
      <c r="A319" s="96">
        <v>321</v>
      </c>
      <c r="B319" s="97" t="s">
        <v>27</v>
      </c>
      <c r="C319" s="96" t="s">
        <v>2815</v>
      </c>
      <c r="D319" s="96" t="s">
        <v>2816</v>
      </c>
      <c r="E319" s="96" t="s">
        <v>2817</v>
      </c>
      <c r="F319" s="96" t="s">
        <v>2818</v>
      </c>
      <c r="G319" s="99" t="s">
        <v>39</v>
      </c>
      <c r="H319" s="100" t="s">
        <v>60</v>
      </c>
      <c r="I319" s="101">
        <v>2016</v>
      </c>
      <c r="J319" s="102" t="str">
        <f>HYPERLINK("http://www.pivovarradobycice.cz","http://www.pivovarradobycice.cz")</f>
        <v>http://www.pivovarradobycice.cz</v>
      </c>
      <c r="K319" s="102" t="str">
        <f>HYPERLINK("https://www.facebook.com/minipivovarradobycice","https://www.facebook.com/minipivovarradobycice")</f>
        <v>https://www.facebook.com/minipivovarradobycice</v>
      </c>
      <c r="L319" s="96" t="s">
        <v>2819</v>
      </c>
      <c r="M319" s="96"/>
      <c r="N319" s="96" t="s">
        <v>2821</v>
      </c>
      <c r="O319" s="96"/>
      <c r="P319" s="96" t="s">
        <v>2822</v>
      </c>
      <c r="Q319" s="96">
        <v>49.696173299999998</v>
      </c>
      <c r="R319" s="96">
        <v>13.3996028</v>
      </c>
      <c r="S319" s="100" t="s">
        <v>7447</v>
      </c>
      <c r="T319" s="103" t="s">
        <v>217</v>
      </c>
      <c r="U319" s="103" t="s">
        <v>1139</v>
      </c>
      <c r="V319" s="103" t="s">
        <v>1140</v>
      </c>
      <c r="W319" s="103" t="s">
        <v>1140</v>
      </c>
    </row>
    <row r="320" spans="1:23" ht="15.75" customHeight="1">
      <c r="A320" s="96">
        <v>322</v>
      </c>
      <c r="B320" s="97" t="s">
        <v>27</v>
      </c>
      <c r="C320" s="96" t="s">
        <v>2823</v>
      </c>
      <c r="D320" s="96" t="s">
        <v>2824</v>
      </c>
      <c r="E320" s="96" t="s">
        <v>2825</v>
      </c>
      <c r="F320" s="96" t="s">
        <v>2826</v>
      </c>
      <c r="G320" s="99" t="s">
        <v>39</v>
      </c>
      <c r="H320" s="100" t="s">
        <v>40</v>
      </c>
      <c r="I320" s="101">
        <v>2016</v>
      </c>
      <c r="J320" s="102" t="str">
        <f>HYPERLINK("http://www.cernymedved.cz","http://www.cernymedved.cz")</f>
        <v>http://www.cernymedved.cz</v>
      </c>
      <c r="K320" s="102" t="str">
        <f>HYPERLINK("https://www.facebook.com/Hotel-Pivovar-Restaurace-U-%C4%8Cern%C3%A9ho-medv%C4%9Bda-1576942145930433","https://www.facebook.com/Hotel-Pivovar-Restaurace-U-%C4%8Cern%C3%A9ho-medv%C4%9Bda-1576942145930433")</f>
        <v>https://www.facebook.com/Hotel-Pivovar-Restaurace-U-%C4%8Cern%C3%A9ho-medv%C4%9Bda-1576942145930433</v>
      </c>
      <c r="L320" s="96" t="s">
        <v>2827</v>
      </c>
      <c r="M320" s="96"/>
      <c r="N320" s="96" t="s">
        <v>2829</v>
      </c>
      <c r="O320" s="102" t="s">
        <v>2830</v>
      </c>
      <c r="P320" s="96" t="s">
        <v>7794</v>
      </c>
      <c r="Q320" s="96">
        <v>50.030217</v>
      </c>
      <c r="R320" s="96">
        <v>16.600075</v>
      </c>
      <c r="S320" s="100" t="s">
        <v>52</v>
      </c>
      <c r="T320" s="103" t="s">
        <v>483</v>
      </c>
      <c r="U320" s="103" t="s">
        <v>484</v>
      </c>
      <c r="V320" s="103" t="s">
        <v>1920</v>
      </c>
      <c r="W320" s="103" t="s">
        <v>2825</v>
      </c>
    </row>
    <row r="321" spans="1:23" ht="15.75" customHeight="1">
      <c r="A321" s="96">
        <v>323</v>
      </c>
      <c r="B321" s="97" t="s">
        <v>27</v>
      </c>
      <c r="C321" s="96" t="s">
        <v>2832</v>
      </c>
      <c r="D321" s="96" t="s">
        <v>2833</v>
      </c>
      <c r="E321" s="96" t="s">
        <v>2834</v>
      </c>
      <c r="F321" s="96" t="s">
        <v>2835</v>
      </c>
      <c r="G321" s="99" t="s">
        <v>39</v>
      </c>
      <c r="H321" s="100" t="s">
        <v>40</v>
      </c>
      <c r="I321" s="101">
        <v>2016</v>
      </c>
      <c r="J321" s="102" t="str">
        <f>HYPERLINK("http://pivovarzlosin.cz","http://pivovarzlosin.cz")</f>
        <v>http://pivovarzlosin.cz</v>
      </c>
      <c r="K321" s="102" t="str">
        <f>HYPERLINK("https://www.facebook.com/pivovarzlosin","https://www.facebook.com/pivovarzlosin")</f>
        <v>https://www.facebook.com/pivovarzlosin</v>
      </c>
      <c r="L321" s="96" t="s">
        <v>2836</v>
      </c>
      <c r="M321" s="96"/>
      <c r="N321" s="96" t="s">
        <v>2832</v>
      </c>
      <c r="O321" s="102" t="s">
        <v>2837</v>
      </c>
      <c r="P321" s="96" t="s">
        <v>7795</v>
      </c>
      <c r="Q321" s="96">
        <v>50.033611000000001</v>
      </c>
      <c r="R321" s="96">
        <v>17.027987</v>
      </c>
      <c r="S321" s="100" t="s">
        <v>52</v>
      </c>
      <c r="T321" s="103" t="s">
        <v>312</v>
      </c>
      <c r="U321" s="103" t="s">
        <v>313</v>
      </c>
      <c r="V321" s="103" t="s">
        <v>313</v>
      </c>
      <c r="W321" s="103" t="s">
        <v>2834</v>
      </c>
    </row>
    <row r="322" spans="1:23" ht="15.75" customHeight="1">
      <c r="A322" s="96">
        <v>324</v>
      </c>
      <c r="B322" s="97" t="s">
        <v>27</v>
      </c>
      <c r="C322" s="96" t="s">
        <v>2839</v>
      </c>
      <c r="D322" s="96" t="s">
        <v>2840</v>
      </c>
      <c r="E322" s="96" t="s">
        <v>2841</v>
      </c>
      <c r="F322" s="96" t="s">
        <v>2841</v>
      </c>
      <c r="G322" s="99" t="s">
        <v>39</v>
      </c>
      <c r="H322" s="100" t="s">
        <v>69</v>
      </c>
      <c r="I322" s="101">
        <v>2016</v>
      </c>
      <c r="J322" s="102" t="str">
        <f>HYPERLINK("http://pivovarzahora.cz","http://pivovarzahora.cz")</f>
        <v>http://pivovarzahora.cz</v>
      </c>
      <c r="K322" s="102" t="str">
        <f>HYPERLINK("https://www.facebook.com/pivovarzahora","https://www.facebook.com/pivovarzahora")</f>
        <v>https://www.facebook.com/pivovarzahora</v>
      </c>
      <c r="L322" s="96" t="s">
        <v>2842</v>
      </c>
      <c r="M322" s="96"/>
      <c r="N322" s="96" t="s">
        <v>2839</v>
      </c>
      <c r="O322" s="102" t="s">
        <v>2844</v>
      </c>
      <c r="P322" s="96" t="s">
        <v>7796</v>
      </c>
      <c r="Q322" s="96">
        <v>50.174802999999898</v>
      </c>
      <c r="R322" s="96">
        <v>15.348383</v>
      </c>
      <c r="S322" s="100" t="s">
        <v>52</v>
      </c>
      <c r="T322" s="103" t="s">
        <v>71</v>
      </c>
      <c r="U322" s="103" t="s">
        <v>882</v>
      </c>
      <c r="V322" s="103" t="s">
        <v>3224</v>
      </c>
      <c r="W322" s="103" t="s">
        <v>2841</v>
      </c>
    </row>
    <row r="323" spans="1:23" ht="15.75" customHeight="1">
      <c r="A323" s="96">
        <v>325</v>
      </c>
      <c r="B323" s="97" t="s">
        <v>27</v>
      </c>
      <c r="C323" s="96" t="s">
        <v>2846</v>
      </c>
      <c r="D323" s="96" t="s">
        <v>2847</v>
      </c>
      <c r="E323" s="96" t="s">
        <v>2848</v>
      </c>
      <c r="F323" s="96" t="s">
        <v>2849</v>
      </c>
      <c r="G323" s="99" t="s">
        <v>39</v>
      </c>
      <c r="H323" s="100" t="s">
        <v>69</v>
      </c>
      <c r="I323" s="101">
        <v>2016</v>
      </c>
      <c r="J323" s="102" t="str">
        <f>HYPERLINK("http://www.zahlinickypivovar.cz","http://www.zahlinickypivovar.cz")</f>
        <v>http://www.zahlinickypivovar.cz</v>
      </c>
      <c r="K323" s="102" t="str">
        <f>HYPERLINK("https://www.facebook.com/PivovarZahlinice","https://www.facebook.com/PivovarZahlinice")</f>
        <v>https://www.facebook.com/PivovarZahlinice</v>
      </c>
      <c r="L323" s="96" t="s">
        <v>2850</v>
      </c>
      <c r="M323" s="96"/>
      <c r="N323" s="96" t="s">
        <v>2852</v>
      </c>
      <c r="O323" s="107" t="s">
        <v>3228</v>
      </c>
      <c r="P323" s="96" t="s">
        <v>7797</v>
      </c>
      <c r="Q323" s="96">
        <v>49.289147999999898</v>
      </c>
      <c r="R323" s="96">
        <v>17.4904809999999</v>
      </c>
      <c r="S323" s="100" t="s">
        <v>52</v>
      </c>
      <c r="T323" s="103" t="s">
        <v>97</v>
      </c>
      <c r="U323" s="103" t="s">
        <v>316</v>
      </c>
      <c r="V323" s="103" t="s">
        <v>316</v>
      </c>
      <c r="W323" s="103" t="s">
        <v>2848</v>
      </c>
    </row>
    <row r="324" spans="1:23" ht="15.75" customHeight="1">
      <c r="A324" s="96">
        <v>326</v>
      </c>
      <c r="B324" s="97" t="s">
        <v>27</v>
      </c>
      <c r="C324" s="96" t="s">
        <v>2854</v>
      </c>
      <c r="D324" s="96" t="s">
        <v>2855</v>
      </c>
      <c r="E324" s="96" t="s">
        <v>2856</v>
      </c>
      <c r="F324" s="96" t="s">
        <v>2857</v>
      </c>
      <c r="G324" s="99" t="s">
        <v>39</v>
      </c>
      <c r="H324" s="100" t="s">
        <v>40</v>
      </c>
      <c r="I324" s="101">
        <v>2016</v>
      </c>
      <c r="J324" s="96"/>
      <c r="K324" s="102" t="str">
        <f>HYPERLINK("https://www.facebook.com/kasperskohorskypivovar","https://www.facebook.com/kasperskohorskypivovar")</f>
        <v>https://www.facebook.com/kasperskohorskypivovar</v>
      </c>
      <c r="L324" s="96" t="s">
        <v>2859</v>
      </c>
      <c r="M324" s="96"/>
      <c r="N324" s="96" t="s">
        <v>2861</v>
      </c>
      <c r="O324" s="96"/>
      <c r="P324" s="96" t="s">
        <v>7798</v>
      </c>
      <c r="Q324" s="96">
        <v>49.144257000000003</v>
      </c>
      <c r="R324" s="96">
        <v>13.5553139999999</v>
      </c>
      <c r="S324" s="100" t="s">
        <v>7447</v>
      </c>
      <c r="T324" s="103" t="s">
        <v>217</v>
      </c>
      <c r="U324" s="103" t="s">
        <v>218</v>
      </c>
      <c r="V324" s="103" t="s">
        <v>2148</v>
      </c>
      <c r="W324" s="103" t="s">
        <v>2856</v>
      </c>
    </row>
    <row r="325" spans="1:23" ht="15.75" customHeight="1">
      <c r="A325" s="96">
        <v>327</v>
      </c>
      <c r="B325" s="97" t="s">
        <v>27</v>
      </c>
      <c r="C325" s="96" t="s">
        <v>2863</v>
      </c>
      <c r="D325" s="96" t="s">
        <v>2864</v>
      </c>
      <c r="E325" s="96" t="s">
        <v>2865</v>
      </c>
      <c r="F325" s="96" t="s">
        <v>2866</v>
      </c>
      <c r="G325" s="99" t="s">
        <v>39</v>
      </c>
      <c r="H325" s="100" t="s">
        <v>89</v>
      </c>
      <c r="I325" s="101" t="s">
        <v>1363</v>
      </c>
      <c r="J325" s="96"/>
      <c r="K325" s="96" t="s">
        <v>2867</v>
      </c>
      <c r="L325" s="96" t="s">
        <v>2868</v>
      </c>
      <c r="M325" s="96"/>
      <c r="N325" s="96" t="s">
        <v>2870</v>
      </c>
      <c r="O325" s="96"/>
      <c r="P325" s="96" t="s">
        <v>7799</v>
      </c>
      <c r="Q325" s="101">
        <v>49.476925999999899</v>
      </c>
      <c r="R325" s="101">
        <v>17.136313000000001</v>
      </c>
      <c r="S325" s="100" t="s">
        <v>7447</v>
      </c>
      <c r="T325" s="103" t="s">
        <v>312</v>
      </c>
      <c r="U325" s="103" t="s">
        <v>622</v>
      </c>
      <c r="V325" s="103" t="s">
        <v>622</v>
      </c>
      <c r="W325" s="103" t="s">
        <v>622</v>
      </c>
    </row>
    <row r="326" spans="1:23" ht="15.75" customHeight="1">
      <c r="A326" s="96">
        <v>328</v>
      </c>
      <c r="B326" s="97" t="s">
        <v>27</v>
      </c>
      <c r="C326" s="96" t="s">
        <v>2872</v>
      </c>
      <c r="D326" s="96" t="s">
        <v>2873</v>
      </c>
      <c r="E326" s="96" t="s">
        <v>2874</v>
      </c>
      <c r="F326" s="96" t="s">
        <v>2875</v>
      </c>
      <c r="G326" s="99" t="s">
        <v>39</v>
      </c>
      <c r="H326" s="100" t="s">
        <v>40</v>
      </c>
      <c r="I326" s="101">
        <v>2016</v>
      </c>
      <c r="J326" s="96"/>
      <c r="K326" s="102" t="str">
        <f>HYPERLINK("https://www.facebook.com/svatojakubskypivovar","https://www.facebook.com/svatojakubskypivovar")</f>
        <v>https://www.facebook.com/svatojakubskypivovar</v>
      </c>
      <c r="L326" s="96" t="s">
        <v>2876</v>
      </c>
      <c r="M326" s="96"/>
      <c r="N326" s="96" t="s">
        <v>2878</v>
      </c>
      <c r="O326" s="107" t="s">
        <v>3246</v>
      </c>
      <c r="P326" s="96" t="s">
        <v>7800</v>
      </c>
      <c r="Q326" s="96">
        <v>49.225123000000004</v>
      </c>
      <c r="R326" s="96">
        <v>16.230013</v>
      </c>
      <c r="S326" s="100" t="s">
        <v>52</v>
      </c>
      <c r="T326" s="103" t="s">
        <v>144</v>
      </c>
      <c r="U326" s="103" t="s">
        <v>422</v>
      </c>
      <c r="V326" s="103" t="s">
        <v>3250</v>
      </c>
      <c r="W326" s="103" t="s">
        <v>2874</v>
      </c>
    </row>
    <row r="327" spans="1:23" ht="15.75" customHeight="1">
      <c r="A327" s="96">
        <v>329</v>
      </c>
      <c r="B327" s="97" t="s">
        <v>27</v>
      </c>
      <c r="C327" s="96" t="s">
        <v>2880</v>
      </c>
      <c r="D327" s="96" t="s">
        <v>2881</v>
      </c>
      <c r="E327" s="96" t="s">
        <v>2880</v>
      </c>
      <c r="F327" s="96" t="s">
        <v>2882</v>
      </c>
      <c r="G327" s="99" t="s">
        <v>39</v>
      </c>
      <c r="H327" s="100" t="s">
        <v>69</v>
      </c>
      <c r="I327" s="101">
        <v>2016</v>
      </c>
      <c r="J327" s="102" t="str">
        <f>HYPERLINK("http://www.liquib.cz","http://www.liquib.cz")</f>
        <v>http://www.liquib.cz</v>
      </c>
      <c r="K327" s="102" t="str">
        <f>HYPERLINK("https://www.facebook.com/CastleDistilleryBrewery","https://www.facebook.com/CastleDistilleryBrewery")</f>
        <v>https://www.facebook.com/CastleDistilleryBrewery</v>
      </c>
      <c r="L327" s="96" t="s">
        <v>2883</v>
      </c>
      <c r="M327" s="96"/>
      <c r="N327" s="96" t="s">
        <v>2885</v>
      </c>
      <c r="O327" s="96"/>
      <c r="P327" s="96" t="s">
        <v>7801</v>
      </c>
      <c r="Q327" s="96">
        <v>49.420938999999898</v>
      </c>
      <c r="R327" s="96">
        <v>13.878226</v>
      </c>
      <c r="S327" s="100" t="s">
        <v>7447</v>
      </c>
      <c r="T327" s="103" t="s">
        <v>369</v>
      </c>
      <c r="U327" s="103" t="s">
        <v>372</v>
      </c>
      <c r="V327" s="103" t="s">
        <v>2880</v>
      </c>
      <c r="W327" s="103" t="s">
        <v>2880</v>
      </c>
    </row>
    <row r="328" spans="1:23" ht="15.75" customHeight="1">
      <c r="A328" s="96">
        <v>330</v>
      </c>
      <c r="B328" s="97" t="s">
        <v>27</v>
      </c>
      <c r="C328" s="96" t="s">
        <v>2887</v>
      </c>
      <c r="D328" s="96" t="s">
        <v>2888</v>
      </c>
      <c r="E328" s="96" t="s">
        <v>2889</v>
      </c>
      <c r="F328" s="96" t="s">
        <v>2890</v>
      </c>
      <c r="G328" s="99" t="s">
        <v>39</v>
      </c>
      <c r="H328" s="100" t="s">
        <v>69</v>
      </c>
      <c r="I328" s="101">
        <v>2016</v>
      </c>
      <c r="J328" s="102" t="str">
        <f>HYPERLINK("http://www.pmpivovary.cz","http://www.pmpivovary.cz")</f>
        <v>http://www.pmpivovary.cz</v>
      </c>
      <c r="K328" s="102" t="str">
        <f>HYPERLINK("https://www.facebook.com/Loužek-160850301104935","https://www.facebook.com/Loužek-160850301104935")</f>
        <v>https://www.facebook.com/Loužek-160850301104935</v>
      </c>
      <c r="L328" s="96" t="s">
        <v>2891</v>
      </c>
      <c r="M328" s="96" t="s">
        <v>2893</v>
      </c>
      <c r="N328" s="96" t="s">
        <v>2887</v>
      </c>
      <c r="O328" s="96"/>
      <c r="P328" s="96" t="s">
        <v>7802</v>
      </c>
      <c r="Q328" s="96">
        <v>49.726677000000002</v>
      </c>
      <c r="R328" s="96">
        <v>13.61842</v>
      </c>
      <c r="S328" s="100" t="s">
        <v>7447</v>
      </c>
      <c r="T328" s="103" t="s">
        <v>217</v>
      </c>
      <c r="U328" s="103" t="s">
        <v>1453</v>
      </c>
      <c r="V328" s="103" t="s">
        <v>1453</v>
      </c>
      <c r="W328" s="103" t="s">
        <v>2889</v>
      </c>
    </row>
    <row r="329" spans="1:23" ht="15.75" customHeight="1">
      <c r="A329" s="96">
        <v>331</v>
      </c>
      <c r="B329" s="97" t="s">
        <v>27</v>
      </c>
      <c r="C329" s="96" t="s">
        <v>2895</v>
      </c>
      <c r="D329" s="96" t="s">
        <v>2896</v>
      </c>
      <c r="E329" s="96" t="s">
        <v>2897</v>
      </c>
      <c r="F329" s="96" t="s">
        <v>2898</v>
      </c>
      <c r="G329" s="99" t="s">
        <v>39</v>
      </c>
      <c r="H329" s="100" t="s">
        <v>60</v>
      </c>
      <c r="I329" s="101">
        <v>2016</v>
      </c>
      <c r="J329" s="102" t="str">
        <f>HYPERLINK("http://www.novejsvet.cz","http://www.novejsvet.cz")</f>
        <v>http://www.novejsvet.cz</v>
      </c>
      <c r="K329" s="102" t="str">
        <f>HYPERLINK("https://www.facebook.com/novejsvet","https://www.facebook.com/novejsvet")</f>
        <v>https://www.facebook.com/novejsvet</v>
      </c>
      <c r="L329" s="96" t="s">
        <v>2899</v>
      </c>
      <c r="M329" s="96" t="s">
        <v>2901</v>
      </c>
      <c r="N329" s="96" t="s">
        <v>2895</v>
      </c>
      <c r="O329" s="102" t="s">
        <v>2902</v>
      </c>
      <c r="P329" s="96" t="s">
        <v>7803</v>
      </c>
      <c r="Q329" s="96">
        <v>50.29222</v>
      </c>
      <c r="R329" s="96">
        <v>14.622377</v>
      </c>
      <c r="S329" s="100" t="s">
        <v>52</v>
      </c>
      <c r="T329" s="103" t="s">
        <v>71</v>
      </c>
      <c r="U329" s="103" t="s">
        <v>1223</v>
      </c>
      <c r="V329" s="103" t="s">
        <v>1223</v>
      </c>
      <c r="W329" s="103" t="s">
        <v>2897</v>
      </c>
    </row>
    <row r="330" spans="1:23" ht="15.75" customHeight="1">
      <c r="A330" s="96">
        <v>332</v>
      </c>
      <c r="B330" s="97" t="s">
        <v>27</v>
      </c>
      <c r="C330" s="96" t="s">
        <v>2904</v>
      </c>
      <c r="D330" s="96" t="s">
        <v>2905</v>
      </c>
      <c r="E330" s="96" t="s">
        <v>2906</v>
      </c>
      <c r="F330" s="96" t="s">
        <v>2907</v>
      </c>
      <c r="G330" s="99" t="s">
        <v>39</v>
      </c>
      <c r="H330" s="100" t="s">
        <v>60</v>
      </c>
      <c r="I330" s="101">
        <v>2016</v>
      </c>
      <c r="J330" s="102" t="str">
        <f>HYPERLINK("http://www.kaberna.cz","http://www.kaberna.cz")</f>
        <v>http://www.kaberna.cz</v>
      </c>
      <c r="K330" s="102" t="str">
        <f>HYPERLINK("https://www.facebook.com/Kaberna-656892784459287","https://www.facebook.com/Kaberna-656892784459287")</f>
        <v>https://www.facebook.com/Kaberna-656892784459287</v>
      </c>
      <c r="L330" s="96" t="s">
        <v>2908</v>
      </c>
      <c r="M330" s="96"/>
      <c r="N330" s="96" t="s">
        <v>2910</v>
      </c>
      <c r="O330" s="96"/>
      <c r="P330" s="96" t="s">
        <v>7804</v>
      </c>
      <c r="Q330" s="96">
        <v>50.262073600000001</v>
      </c>
      <c r="R330" s="96">
        <v>14.534883600000001</v>
      </c>
      <c r="S330" s="100" t="s">
        <v>7447</v>
      </c>
      <c r="T330" s="103" t="s">
        <v>71</v>
      </c>
      <c r="U330" s="103" t="s">
        <v>1223</v>
      </c>
      <c r="V330" s="103" t="s">
        <v>3304</v>
      </c>
      <c r="W330" s="103" t="s">
        <v>3304</v>
      </c>
    </row>
    <row r="331" spans="1:23" ht="15.75" customHeight="1">
      <c r="A331" s="96">
        <v>333</v>
      </c>
      <c r="B331" s="97" t="s">
        <v>27</v>
      </c>
      <c r="C331" s="96" t="s">
        <v>2913</v>
      </c>
      <c r="D331" s="96" t="s">
        <v>2914</v>
      </c>
      <c r="E331" s="96" t="s">
        <v>227</v>
      </c>
      <c r="F331" s="96" t="s">
        <v>2915</v>
      </c>
      <c r="G331" s="99" t="s">
        <v>39</v>
      </c>
      <c r="H331" s="100" t="s">
        <v>40</v>
      </c>
      <c r="I331" s="101">
        <v>2016</v>
      </c>
      <c r="J331" s="102" t="str">
        <f>HYPERLINK("http://www.restauracenactyrce.cz","http://www.restauracenactyrce.cz")</f>
        <v>http://www.restauracenactyrce.cz</v>
      </c>
      <c r="K331" s="96"/>
      <c r="L331" s="96" t="s">
        <v>2916</v>
      </c>
      <c r="M331" s="96"/>
      <c r="N331" s="96" t="s">
        <v>2918</v>
      </c>
      <c r="O331" s="102" t="s">
        <v>2919</v>
      </c>
      <c r="P331" s="96" t="s">
        <v>7805</v>
      </c>
      <c r="Q331" s="96">
        <v>49.431294999999899</v>
      </c>
      <c r="R331" s="96">
        <v>15.222809</v>
      </c>
      <c r="S331" s="100" t="s">
        <v>52</v>
      </c>
      <c r="T331" s="103" t="s">
        <v>144</v>
      </c>
      <c r="U331" s="103" t="s">
        <v>227</v>
      </c>
      <c r="V331" s="103" t="s">
        <v>227</v>
      </c>
      <c r="W331" s="103" t="s">
        <v>227</v>
      </c>
    </row>
    <row r="332" spans="1:23" ht="15.75" customHeight="1">
      <c r="A332" s="96">
        <v>334</v>
      </c>
      <c r="B332" s="97" t="s">
        <v>27</v>
      </c>
      <c r="C332" s="96" t="s">
        <v>2921</v>
      </c>
      <c r="D332" s="96" t="s">
        <v>2921</v>
      </c>
      <c r="E332" s="96" t="s">
        <v>564</v>
      </c>
      <c r="F332" s="96" t="s">
        <v>2922</v>
      </c>
      <c r="G332" s="99" t="s">
        <v>39</v>
      </c>
      <c r="H332" s="100" t="s">
        <v>69</v>
      </c>
      <c r="I332" s="101">
        <v>2016</v>
      </c>
      <c r="J332" s="102" t="str">
        <f>HYPERLINK("http://www.revolta.beer","http://www.revolta.beer")</f>
        <v>http://www.revolta.beer</v>
      </c>
      <c r="K332" s="102" t="str">
        <f>HYPERLINK("https://www.facebook.com/revoltabeer","https://www.facebook.com/revoltabeer")</f>
        <v>https://www.facebook.com/revoltabeer</v>
      </c>
      <c r="L332" s="96" t="s">
        <v>2923</v>
      </c>
      <c r="M332" s="96"/>
      <c r="N332" s="96" t="s">
        <v>2925</v>
      </c>
      <c r="O332" s="96"/>
      <c r="P332" s="96" t="s">
        <v>7806</v>
      </c>
      <c r="Q332" s="96">
        <v>49.562024399999999</v>
      </c>
      <c r="R332" s="96">
        <v>15.9390325</v>
      </c>
      <c r="S332" s="100" t="s">
        <v>7447</v>
      </c>
      <c r="T332" s="103" t="s">
        <v>144</v>
      </c>
      <c r="U332" s="103" t="s">
        <v>564</v>
      </c>
      <c r="V332" s="103" t="s">
        <v>564</v>
      </c>
      <c r="W332" s="103" t="s">
        <v>564</v>
      </c>
    </row>
    <row r="333" spans="1:23" ht="15.75" customHeight="1">
      <c r="A333" s="96">
        <v>335</v>
      </c>
      <c r="B333" s="97" t="s">
        <v>27</v>
      </c>
      <c r="C333" s="96" t="s">
        <v>2928</v>
      </c>
      <c r="D333" s="96" t="s">
        <v>2929</v>
      </c>
      <c r="E333" s="96" t="s">
        <v>1326</v>
      </c>
      <c r="F333" s="96" t="s">
        <v>2930</v>
      </c>
      <c r="G333" s="99" t="s">
        <v>39</v>
      </c>
      <c r="H333" s="100" t="s">
        <v>60</v>
      </c>
      <c r="I333" s="101">
        <v>2016</v>
      </c>
      <c r="J333" s="102" t="str">
        <f>HYPERLINK("http://www.zabreh-pivovar.cz","http://www.zabreh-pivovar.cz")</f>
        <v>http://www.zabreh-pivovar.cz</v>
      </c>
      <c r="K333" s="102" t="str">
        <f>HYPERLINK("https://www.facebook.com/Pivovar-Welzl-Z%C3%A1b%C5%99eh-1098803103543316","https://www.facebook.com/Pivovar-Welzl-Z%C3%A1b%C5%99eh-1098803103543316")</f>
        <v>https://www.facebook.com/Pivovar-Welzl-Z%C3%A1b%C5%99eh-1098803103543316</v>
      </c>
      <c r="L333" s="96" t="s">
        <v>2931</v>
      </c>
      <c r="M333" s="96"/>
      <c r="N333" s="96" t="s">
        <v>2928</v>
      </c>
      <c r="O333" s="102" t="s">
        <v>2933</v>
      </c>
      <c r="P333" s="96" t="s">
        <v>7807</v>
      </c>
      <c r="Q333" s="96">
        <v>49.887987000000003</v>
      </c>
      <c r="R333" s="96">
        <v>16.860980999999899</v>
      </c>
      <c r="S333" s="100" t="s">
        <v>52</v>
      </c>
      <c r="T333" s="103" t="s">
        <v>312</v>
      </c>
      <c r="U333" s="103" t="s">
        <v>313</v>
      </c>
      <c r="V333" s="103" t="s">
        <v>1326</v>
      </c>
      <c r="W333" s="103" t="s">
        <v>1326</v>
      </c>
    </row>
    <row r="334" spans="1:23" ht="15.75" customHeight="1">
      <c r="A334" s="96">
        <v>336</v>
      </c>
      <c r="B334" s="97" t="s">
        <v>27</v>
      </c>
      <c r="C334" s="96" t="s">
        <v>2936</v>
      </c>
      <c r="D334" s="96" t="s">
        <v>2937</v>
      </c>
      <c r="E334" s="96" t="s">
        <v>953</v>
      </c>
      <c r="F334" s="96" t="s">
        <v>2938</v>
      </c>
      <c r="G334" s="99" t="s">
        <v>39</v>
      </c>
      <c r="H334" s="100" t="s">
        <v>69</v>
      </c>
      <c r="I334" s="101">
        <v>2016</v>
      </c>
      <c r="J334" s="102" t="str">
        <f>HYPERLINK("http://pivovar-kvetnice.cz","http://pivovar-kvetnice.cz")</f>
        <v>http://pivovar-kvetnice.cz</v>
      </c>
      <c r="K334" s="107" t="s">
        <v>3352</v>
      </c>
      <c r="L334" s="96" t="s">
        <v>2939</v>
      </c>
      <c r="M334" s="96"/>
      <c r="N334" s="96" t="s">
        <v>2936</v>
      </c>
      <c r="O334" s="102" t="s">
        <v>2941</v>
      </c>
      <c r="P334" s="96" t="s">
        <v>2942</v>
      </c>
      <c r="Q334" s="96">
        <v>49.342042200000002</v>
      </c>
      <c r="R334" s="96">
        <v>16.435328899999998</v>
      </c>
      <c r="S334" s="100" t="s">
        <v>52</v>
      </c>
      <c r="T334" s="103" t="s">
        <v>325</v>
      </c>
      <c r="U334" s="103" t="s">
        <v>952</v>
      </c>
      <c r="V334" s="103" t="s">
        <v>953</v>
      </c>
      <c r="W334" s="103" t="s">
        <v>953</v>
      </c>
    </row>
    <row r="335" spans="1:23" ht="15.75" customHeight="1">
      <c r="A335" s="96">
        <v>337</v>
      </c>
      <c r="B335" s="97" t="s">
        <v>27</v>
      </c>
      <c r="C335" s="96" t="s">
        <v>2943</v>
      </c>
      <c r="D335" s="96" t="s">
        <v>2944</v>
      </c>
      <c r="E335" s="96" t="s">
        <v>2945</v>
      </c>
      <c r="F335" s="96" t="s">
        <v>2946</v>
      </c>
      <c r="G335" s="99" t="s">
        <v>39</v>
      </c>
      <c r="H335" s="100" t="s">
        <v>40</v>
      </c>
      <c r="I335" s="101">
        <v>2016</v>
      </c>
      <c r="J335" s="102" t="str">
        <f>HYPERLINK("http://www.nalochkove.cz","http://www.nalochkove.cz")</f>
        <v>http://www.nalochkove.cz</v>
      </c>
      <c r="K335" s="102" t="str">
        <f>HYPERLINK("https://www.facebook.com/nalochkove","https://www.facebook.com/nalochkove")</f>
        <v>https://www.facebook.com/nalochkove</v>
      </c>
      <c r="L335" s="96" t="s">
        <v>2948</v>
      </c>
      <c r="M335" s="96"/>
      <c r="N335" s="96" t="s">
        <v>2950</v>
      </c>
      <c r="O335" s="96"/>
      <c r="P335" s="96" t="s">
        <v>7808</v>
      </c>
      <c r="Q335" s="96">
        <v>50.002702999999897</v>
      </c>
      <c r="R335" s="96">
        <v>14.354853</v>
      </c>
      <c r="S335" s="100" t="s">
        <v>52</v>
      </c>
      <c r="T335" s="103" t="s">
        <v>58</v>
      </c>
      <c r="U335" s="103" t="s">
        <v>58</v>
      </c>
      <c r="V335" s="103" t="s">
        <v>58</v>
      </c>
      <c r="W335" s="103" t="s">
        <v>59</v>
      </c>
    </row>
    <row r="336" spans="1:23" ht="15.75" customHeight="1">
      <c r="A336" s="96">
        <v>338</v>
      </c>
      <c r="B336" s="97" t="s">
        <v>27</v>
      </c>
      <c r="C336" s="96" t="s">
        <v>2953</v>
      </c>
      <c r="D336" s="96" t="s">
        <v>2954</v>
      </c>
      <c r="E336" s="96" t="s">
        <v>2955</v>
      </c>
      <c r="F336" s="96" t="s">
        <v>2956</v>
      </c>
      <c r="G336" s="99" t="s">
        <v>39</v>
      </c>
      <c r="H336" s="100" t="s">
        <v>40</v>
      </c>
      <c r="I336" s="101">
        <v>2016</v>
      </c>
      <c r="J336" s="102" t="str">
        <f>HYPERLINK("http://www.pddp.cz","http://www.pddp.cz")</f>
        <v>http://www.pddp.cz</v>
      </c>
      <c r="K336" s="107" t="s">
        <v>3367</v>
      </c>
      <c r="L336" s="96" t="s">
        <v>2957</v>
      </c>
      <c r="M336" s="96"/>
      <c r="N336" s="96" t="s">
        <v>2953</v>
      </c>
      <c r="O336" s="96"/>
      <c r="P336" s="96" t="s">
        <v>7809</v>
      </c>
      <c r="Q336" s="96">
        <v>50.0884059999999</v>
      </c>
      <c r="R336" s="96">
        <v>14.580873</v>
      </c>
      <c r="S336" s="100" t="s">
        <v>52</v>
      </c>
      <c r="T336" s="103" t="s">
        <v>58</v>
      </c>
      <c r="U336" s="103" t="s">
        <v>58</v>
      </c>
      <c r="V336" s="103" t="s">
        <v>58</v>
      </c>
      <c r="W336" s="103" t="s">
        <v>59</v>
      </c>
    </row>
    <row r="337" spans="1:23" ht="15.75" customHeight="1">
      <c r="A337" s="96">
        <v>339</v>
      </c>
      <c r="B337" s="97" t="s">
        <v>27</v>
      </c>
      <c r="C337" s="96" t="s">
        <v>2960</v>
      </c>
      <c r="D337" s="96" t="s">
        <v>2961</v>
      </c>
      <c r="E337" s="96" t="s">
        <v>2962</v>
      </c>
      <c r="F337" s="96" t="s">
        <v>2963</v>
      </c>
      <c r="G337" s="99" t="s">
        <v>39</v>
      </c>
      <c r="H337" s="100" t="s">
        <v>40</v>
      </c>
      <c r="I337" s="101">
        <v>2016</v>
      </c>
      <c r="J337" s="102" t="str">
        <f>HYPERLINK("http://www.dvurperlovavoda.cz","http://www.dvurperlovavoda.cz")</f>
        <v>http://www.dvurperlovavoda.cz</v>
      </c>
      <c r="K337" s="102" t="str">
        <f>HYPERLINK("https://www.facebook.com/dvurperlovavoda","https://www.facebook.com/dvurperlovavoda")</f>
        <v>https://www.facebook.com/dvurperlovavoda</v>
      </c>
      <c r="L337" s="96" t="s">
        <v>2964</v>
      </c>
      <c r="M337" s="96"/>
      <c r="N337" s="96" t="s">
        <v>2965</v>
      </c>
      <c r="O337" s="96"/>
      <c r="P337" s="96" t="s">
        <v>7810</v>
      </c>
      <c r="Q337" s="96">
        <v>50.395364000000001</v>
      </c>
      <c r="R337" s="96">
        <v>14.091494000000001</v>
      </c>
      <c r="S337" s="100" t="s">
        <v>7447</v>
      </c>
      <c r="T337" s="103" t="s">
        <v>353</v>
      </c>
      <c r="U337" s="103" t="s">
        <v>767</v>
      </c>
      <c r="V337" s="103" t="s">
        <v>2782</v>
      </c>
      <c r="W337" s="103" t="s">
        <v>3381</v>
      </c>
    </row>
    <row r="338" spans="1:23" ht="15.75" customHeight="1">
      <c r="A338" s="96">
        <v>340</v>
      </c>
      <c r="B338" s="97" t="s">
        <v>27</v>
      </c>
      <c r="C338" s="96" t="s">
        <v>2967</v>
      </c>
      <c r="D338" s="96" t="s">
        <v>2968</v>
      </c>
      <c r="E338" s="96" t="s">
        <v>2969</v>
      </c>
      <c r="F338" s="96" t="s">
        <v>2970</v>
      </c>
      <c r="G338" s="99" t="s">
        <v>39</v>
      </c>
      <c r="H338" s="100" t="s">
        <v>60</v>
      </c>
      <c r="I338" s="101">
        <v>2016</v>
      </c>
      <c r="J338" s="102" t="str">
        <f>HYPERLINK("http://www.pivovar-millenium.cz","http://www.pivovar-millenium.cz")</f>
        <v>http://www.pivovar-millenium.cz</v>
      </c>
      <c r="K338" s="102" t="str">
        <f>HYPERLINK("https://www.facebook.com/people/Pivovar-Mill%C3%A9nium/100008386411859","https://www.facebook.com/people/Pivovar-Mill%C3%A9nium/100008386411859")</f>
        <v>https://www.facebook.com/people/Pivovar-Mill%C3%A9nium/100008386411859</v>
      </c>
      <c r="L338" s="96" t="s">
        <v>2971</v>
      </c>
      <c r="M338" s="96"/>
      <c r="N338" s="96" t="s">
        <v>2973</v>
      </c>
      <c r="O338" s="102" t="s">
        <v>2974</v>
      </c>
      <c r="P338" s="96" t="s">
        <v>7811</v>
      </c>
      <c r="Q338" s="96">
        <v>50.678888999999899</v>
      </c>
      <c r="R338" s="96">
        <v>14.0985479999999</v>
      </c>
      <c r="S338" s="100" t="s">
        <v>52</v>
      </c>
      <c r="T338" s="103" t="s">
        <v>353</v>
      </c>
      <c r="U338" s="103" t="s">
        <v>354</v>
      </c>
      <c r="V338" s="103" t="s">
        <v>354</v>
      </c>
      <c r="W338" s="103" t="s">
        <v>354</v>
      </c>
    </row>
    <row r="339" spans="1:23" ht="15.75" customHeight="1">
      <c r="A339" s="96">
        <v>341</v>
      </c>
      <c r="B339" s="97" t="s">
        <v>27</v>
      </c>
      <c r="C339" s="96" t="s">
        <v>2977</v>
      </c>
      <c r="D339" s="96" t="s">
        <v>2978</v>
      </c>
      <c r="E339" s="96" t="s">
        <v>2979</v>
      </c>
      <c r="F339" s="96" t="s">
        <v>2980</v>
      </c>
      <c r="G339" s="99" t="s">
        <v>39</v>
      </c>
      <c r="H339" s="100" t="s">
        <v>69</v>
      </c>
      <c r="I339" s="101">
        <v>2016</v>
      </c>
      <c r="J339" s="102" t="str">
        <f>HYPERLINK("http://www.upiva.cz","http://www.upiva.cz")</f>
        <v>http://www.upiva.cz</v>
      </c>
      <c r="K339" s="102" t="str">
        <f>HYPERLINK("https://www.facebook.com/pivovaruhrineves","https://www.facebook.com/pivovaruhrineves")</f>
        <v>https://www.facebook.com/pivovaruhrineves</v>
      </c>
      <c r="L339" s="96" t="s">
        <v>2981</v>
      </c>
      <c r="M339" s="96"/>
      <c r="N339" s="96" t="s">
        <v>2983</v>
      </c>
      <c r="O339" s="102" t="s">
        <v>2985</v>
      </c>
      <c r="P339" s="96" t="s">
        <v>7812</v>
      </c>
      <c r="Q339" s="96">
        <v>50.0279659999999</v>
      </c>
      <c r="R339" s="96">
        <v>14.606894</v>
      </c>
      <c r="S339" s="100" t="s">
        <v>7447</v>
      </c>
      <c r="T339" s="103" t="s">
        <v>58</v>
      </c>
      <c r="U339" s="103" t="s">
        <v>58</v>
      </c>
      <c r="V339" s="103" t="s">
        <v>58</v>
      </c>
      <c r="W339" s="103" t="s">
        <v>59</v>
      </c>
    </row>
    <row r="340" spans="1:23" ht="15.75" customHeight="1">
      <c r="A340" s="96">
        <v>342</v>
      </c>
      <c r="B340" s="97" t="s">
        <v>27</v>
      </c>
      <c r="C340" s="96" t="s">
        <v>2987</v>
      </c>
      <c r="D340" s="96" t="s">
        <v>2988</v>
      </c>
      <c r="E340" s="96" t="s">
        <v>2987</v>
      </c>
      <c r="F340" s="96" t="s">
        <v>2989</v>
      </c>
      <c r="G340" s="99" t="s">
        <v>39</v>
      </c>
      <c r="H340" s="100" t="s">
        <v>69</v>
      </c>
      <c r="I340" s="101">
        <v>2016</v>
      </c>
      <c r="J340" s="102" t="str">
        <f>HYPERLINK("http://www.pivovarobora.cz","http://www.pivovarobora.cz")</f>
        <v>http://www.pivovarobora.cz</v>
      </c>
      <c r="K340" s="102" t="str">
        <f>HYPERLINK("https://www.facebook.com/pivovarobora","https://www.facebook.com/pivovarobora")</f>
        <v>https://www.facebook.com/pivovarobora</v>
      </c>
      <c r="L340" s="96" t="s">
        <v>2990</v>
      </c>
      <c r="M340" s="96"/>
      <c r="N340" s="96" t="s">
        <v>2992</v>
      </c>
      <c r="O340" s="96"/>
      <c r="P340" s="96" t="s">
        <v>7813</v>
      </c>
      <c r="Q340" s="96">
        <v>49.338788999999899</v>
      </c>
      <c r="R340" s="96">
        <v>14.638754</v>
      </c>
      <c r="S340" s="100" t="s">
        <v>7447</v>
      </c>
      <c r="T340" s="103" t="s">
        <v>369</v>
      </c>
      <c r="U340" s="103" t="s">
        <v>674</v>
      </c>
      <c r="V340" s="103" t="s">
        <v>674</v>
      </c>
      <c r="W340" s="103" t="s">
        <v>3421</v>
      </c>
    </row>
    <row r="341" spans="1:23" ht="15.75" customHeight="1">
      <c r="A341" s="96">
        <v>343</v>
      </c>
      <c r="B341" s="97" t="s">
        <v>27</v>
      </c>
      <c r="C341" s="96" t="s">
        <v>2994</v>
      </c>
      <c r="D341" s="96" t="s">
        <v>2995</v>
      </c>
      <c r="E341" s="96" t="s">
        <v>1153</v>
      </c>
      <c r="F341" s="96" t="s">
        <v>2996</v>
      </c>
      <c r="G341" s="99" t="s">
        <v>39</v>
      </c>
      <c r="H341" s="100" t="s">
        <v>40</v>
      </c>
      <c r="I341" s="101">
        <v>2016</v>
      </c>
      <c r="J341" s="102" t="str">
        <f>HYPERLINK("http://www.najizni.cz","http://www.najizni.cz")</f>
        <v>http://www.najizni.cz</v>
      </c>
      <c r="K341" s="102" t="str">
        <f>HYPERLINK("https://www.facebook.com/hotel.najizni","https://www.facebook.com/hotel.najizni")</f>
        <v>https://www.facebook.com/hotel.najizni</v>
      </c>
      <c r="L341" s="96" t="s">
        <v>2997</v>
      </c>
      <c r="M341" s="96"/>
      <c r="N341" s="96" t="s">
        <v>2999</v>
      </c>
      <c r="O341" s="102" t="s">
        <v>3000</v>
      </c>
      <c r="P341" s="96" t="s">
        <v>7814</v>
      </c>
      <c r="Q341" s="96">
        <v>49.44312</v>
      </c>
      <c r="R341" s="96">
        <v>17.455964000000002</v>
      </c>
      <c r="S341" s="100" t="s">
        <v>52</v>
      </c>
      <c r="T341" s="103" t="s">
        <v>312</v>
      </c>
      <c r="U341" s="103" t="s">
        <v>1153</v>
      </c>
      <c r="V341" s="103" t="s">
        <v>1153</v>
      </c>
      <c r="W341" s="103" t="s">
        <v>1153</v>
      </c>
    </row>
    <row r="342" spans="1:23" ht="15.75" customHeight="1">
      <c r="A342" s="96">
        <v>344</v>
      </c>
      <c r="B342" s="97" t="s">
        <v>27</v>
      </c>
      <c r="C342" s="96" t="s">
        <v>3002</v>
      </c>
      <c r="D342" s="96" t="s">
        <v>3003</v>
      </c>
      <c r="E342" s="96" t="s">
        <v>3004</v>
      </c>
      <c r="F342" s="96" t="s">
        <v>3005</v>
      </c>
      <c r="G342" s="99" t="s">
        <v>39</v>
      </c>
      <c r="H342" s="100" t="s">
        <v>89</v>
      </c>
      <c r="I342" s="101" t="s">
        <v>3438</v>
      </c>
      <c r="J342" s="102" t="str">
        <f>HYPERLINK("http://www.horackypivovar.cz","http://www.horackypivovar.cz")</f>
        <v>http://www.horackypivovar.cz</v>
      </c>
      <c r="K342" s="100" t="s">
        <v>3442</v>
      </c>
      <c r="L342" s="96" t="s">
        <v>3006</v>
      </c>
      <c r="M342" s="100" t="s">
        <v>3443</v>
      </c>
      <c r="N342" s="96" t="s">
        <v>3008</v>
      </c>
      <c r="O342" s="96"/>
      <c r="P342" s="96" t="s">
        <v>7815</v>
      </c>
      <c r="Q342" s="96">
        <v>49.31268</v>
      </c>
      <c r="R342" s="96">
        <v>15.7677409999999</v>
      </c>
      <c r="S342" s="100" t="s">
        <v>7447</v>
      </c>
      <c r="T342" s="103" t="s">
        <v>144</v>
      </c>
      <c r="U342" s="103" t="s">
        <v>422</v>
      </c>
      <c r="V342" s="103" t="s">
        <v>422</v>
      </c>
      <c r="W342" s="103" t="s">
        <v>3004</v>
      </c>
    </row>
    <row r="343" spans="1:23" ht="15.75" customHeight="1">
      <c r="A343" s="96">
        <v>345</v>
      </c>
      <c r="B343" s="97" t="s">
        <v>27</v>
      </c>
      <c r="C343" s="96" t="s">
        <v>3010</v>
      </c>
      <c r="D343" s="96" t="s">
        <v>3011</v>
      </c>
      <c r="E343" s="96" t="s">
        <v>1198</v>
      </c>
      <c r="F343" s="96" t="s">
        <v>3012</v>
      </c>
      <c r="G343" s="99" t="s">
        <v>39</v>
      </c>
      <c r="H343" s="100" t="s">
        <v>60</v>
      </c>
      <c r="I343" s="101">
        <v>2016</v>
      </c>
      <c r="J343" s="102" t="str">
        <f>HYPERLINK("http://pivovar-bahno.cz","http://pivovar-bahno.cz")</f>
        <v>http://pivovar-bahno.cz</v>
      </c>
      <c r="K343" s="102" t="str">
        <f>HYPERLINK("https://www.facebook.com/PIVOVARBAHNO","https://www.facebook.com/PIVOVARBAHNO")</f>
        <v>https://www.facebook.com/PIVOVARBAHNO</v>
      </c>
      <c r="L343" s="96" t="s">
        <v>3013</v>
      </c>
      <c r="M343" s="96" t="s">
        <v>3015</v>
      </c>
      <c r="N343" s="96" t="s">
        <v>3010</v>
      </c>
      <c r="O343" s="102" t="s">
        <v>3016</v>
      </c>
      <c r="P343" s="96" t="s">
        <v>7816</v>
      </c>
      <c r="Q343" s="96">
        <v>50.032425000000003</v>
      </c>
      <c r="R343" s="96">
        <v>15.7557639999999</v>
      </c>
      <c r="S343" s="100" t="s">
        <v>52</v>
      </c>
      <c r="T343" s="103" t="s">
        <v>483</v>
      </c>
      <c r="U343" s="103" t="s">
        <v>1198</v>
      </c>
      <c r="V343" s="103" t="s">
        <v>1198</v>
      </c>
      <c r="W343" s="103" t="s">
        <v>1198</v>
      </c>
    </row>
    <row r="344" spans="1:23" ht="15.75" customHeight="1">
      <c r="A344" s="96">
        <v>346</v>
      </c>
      <c r="B344" s="97" t="s">
        <v>27</v>
      </c>
      <c r="C344" s="96" t="s">
        <v>3018</v>
      </c>
      <c r="D344" s="96" t="s">
        <v>3019</v>
      </c>
      <c r="E344" s="96" t="s">
        <v>3020</v>
      </c>
      <c r="F344" s="96" t="s">
        <v>3021</v>
      </c>
      <c r="G344" s="99" t="s">
        <v>39</v>
      </c>
      <c r="H344" s="100" t="s">
        <v>40</v>
      </c>
      <c r="I344" s="101">
        <v>2016</v>
      </c>
      <c r="J344" s="96"/>
      <c r="K344" s="102" t="str">
        <f>HYPERLINK("https://www.facebook.com/Maloskalsk%C3%BD-pivovar-517141811752656","https://www.facebook.com/Maloskalsk%C3%BD-pivovar-517141811752656")</f>
        <v>https://www.facebook.com/Maloskalsk%C3%BD-pivovar-517141811752656</v>
      </c>
      <c r="L344" s="96" t="s">
        <v>3022</v>
      </c>
      <c r="M344" s="96"/>
      <c r="N344" s="96" t="s">
        <v>3023</v>
      </c>
      <c r="O344" s="102" t="s">
        <v>3024</v>
      </c>
      <c r="P344" s="96" t="s">
        <v>7817</v>
      </c>
      <c r="Q344" s="96">
        <v>50.640751000000002</v>
      </c>
      <c r="R344" s="96">
        <v>15.191762000000001</v>
      </c>
      <c r="S344" s="100" t="s">
        <v>52</v>
      </c>
      <c r="T344" s="103" t="s">
        <v>67</v>
      </c>
      <c r="U344" s="103" t="s">
        <v>3469</v>
      </c>
      <c r="V344" s="103" t="s">
        <v>1608</v>
      </c>
      <c r="W344" s="103" t="s">
        <v>3020</v>
      </c>
    </row>
    <row r="345" spans="1:23" ht="15.75" customHeight="1">
      <c r="A345" s="96">
        <v>347</v>
      </c>
      <c r="B345" s="97" t="s">
        <v>27</v>
      </c>
      <c r="C345" s="96" t="s">
        <v>3026</v>
      </c>
      <c r="D345" s="96" t="s">
        <v>3027</v>
      </c>
      <c r="E345" s="96" t="s">
        <v>3028</v>
      </c>
      <c r="F345" s="96" t="s">
        <v>3029</v>
      </c>
      <c r="G345" s="99" t="s">
        <v>39</v>
      </c>
      <c r="H345" s="100" t="s">
        <v>60</v>
      </c>
      <c r="I345" s="101">
        <v>2016</v>
      </c>
      <c r="J345" s="102" t="str">
        <f>HYPERLINK("http://www.pivopanuzruze.cz","http://www.pivopanuzruze.cz")</f>
        <v>http://www.pivopanuzruze.cz</v>
      </c>
      <c r="K345" s="102" t="str">
        <f>HYPERLINK("https://www.facebook.com/pivovarzidovice.cz","https://www.facebook.com/pivovarzidovice.cz")</f>
        <v>https://www.facebook.com/pivovarzidovice.cz</v>
      </c>
      <c r="L345" s="96" t="s">
        <v>3030</v>
      </c>
      <c r="M345" s="96"/>
      <c r="N345" s="96" t="s">
        <v>3032</v>
      </c>
      <c r="O345" s="96"/>
      <c r="P345" s="96" t="s">
        <v>7818</v>
      </c>
      <c r="Q345" s="96">
        <v>50.445272000000003</v>
      </c>
      <c r="R345" s="96">
        <v>14.23307</v>
      </c>
      <c r="S345" s="100" t="s">
        <v>7447</v>
      </c>
      <c r="T345" s="103" t="s">
        <v>353</v>
      </c>
      <c r="U345" s="103" t="s">
        <v>767</v>
      </c>
      <c r="V345" s="103" t="s">
        <v>2782</v>
      </c>
      <c r="W345" s="103" t="s">
        <v>3028</v>
      </c>
    </row>
    <row r="346" spans="1:23" ht="15.75" customHeight="1">
      <c r="A346" s="96">
        <v>348</v>
      </c>
      <c r="B346" s="97" t="s">
        <v>27</v>
      </c>
      <c r="C346" s="96" t="s">
        <v>3035</v>
      </c>
      <c r="D346" s="96" t="s">
        <v>3036</v>
      </c>
      <c r="E346" s="96" t="s">
        <v>3037</v>
      </c>
      <c r="F346" s="96" t="s">
        <v>3038</v>
      </c>
      <c r="G346" s="99" t="s">
        <v>39</v>
      </c>
      <c r="H346" s="100" t="s">
        <v>69</v>
      </c>
      <c r="I346" s="101">
        <v>2016</v>
      </c>
      <c r="J346" s="102" t="str">
        <f>HYPERLINK("http://www.skalickybudulinek.cz","http://www.skalickybudulinek.cz")</f>
        <v>http://www.skalickybudulinek.cz</v>
      </c>
      <c r="K346" s="102" t="str">
        <f>HYPERLINK("https://www.facebook.com/Minipivovar-Skalick%C3%BD-Budul%C3%ADnek-1718952698336296","https://www.facebook.com/Minipivovar-Skalick%C3%BD-Budul%C3%ADnek-1718952698336296")</f>
        <v>https://www.facebook.com/Minipivovar-Skalick%C3%BD-Budul%C3%ADnek-1718952698336296</v>
      </c>
      <c r="L346" s="96" t="s">
        <v>3039</v>
      </c>
      <c r="M346" s="96" t="s">
        <v>3040</v>
      </c>
      <c r="N346" s="96" t="s">
        <v>3041</v>
      </c>
      <c r="O346" s="102" t="s">
        <v>3042</v>
      </c>
      <c r="P346" s="96" t="s">
        <v>7819</v>
      </c>
      <c r="Q346" s="96">
        <v>50.7416389999999</v>
      </c>
      <c r="R346" s="96">
        <v>14.525236</v>
      </c>
      <c r="S346" s="100" t="s">
        <v>52</v>
      </c>
      <c r="T346" s="103" t="s">
        <v>67</v>
      </c>
      <c r="U346" s="103" t="s">
        <v>108</v>
      </c>
      <c r="V346" s="103" t="s">
        <v>109</v>
      </c>
      <c r="W346" s="103" t="s">
        <v>3037</v>
      </c>
    </row>
    <row r="347" spans="1:23" ht="15.75" customHeight="1">
      <c r="A347" s="96">
        <v>349</v>
      </c>
      <c r="B347" s="97" t="s">
        <v>27</v>
      </c>
      <c r="C347" s="96" t="s">
        <v>3044</v>
      </c>
      <c r="D347" s="96" t="s">
        <v>3045</v>
      </c>
      <c r="E347" s="96" t="s">
        <v>1023</v>
      </c>
      <c r="F347" s="96" t="s">
        <v>3046</v>
      </c>
      <c r="G347" s="99" t="s">
        <v>39</v>
      </c>
      <c r="H347" s="100" t="s">
        <v>40</v>
      </c>
      <c r="I347" s="101">
        <v>2016</v>
      </c>
      <c r="J347" s="102" t="str">
        <f>HYPERLINK("http://www.pivovarzichovec.cz","http://www.pivovarzichovec.cz")</f>
        <v>http://www.pivovarzichovec.cz</v>
      </c>
      <c r="K347" s="102" t="str">
        <f>HYPERLINK("https://www.facebook.com/pivovarzichovec","https://www.facebook.com/pivovarzichovec")</f>
        <v>https://www.facebook.com/pivovarzichovec</v>
      </c>
      <c r="L347" s="96" t="s">
        <v>1863</v>
      </c>
      <c r="M347" s="96"/>
      <c r="N347" s="96" t="s">
        <v>1865</v>
      </c>
      <c r="O347" s="96"/>
      <c r="P347" s="96" t="s">
        <v>7820</v>
      </c>
      <c r="Q347" s="96">
        <v>50.350667000000001</v>
      </c>
      <c r="R347" s="96">
        <v>13.817936</v>
      </c>
      <c r="S347" s="100" t="s">
        <v>7447</v>
      </c>
      <c r="T347" s="103" t="s">
        <v>353</v>
      </c>
      <c r="U347" s="103" t="s">
        <v>1023</v>
      </c>
      <c r="V347" s="103" t="s">
        <v>1023</v>
      </c>
      <c r="W347" s="103" t="s">
        <v>1023</v>
      </c>
    </row>
    <row r="348" spans="1:23" ht="15.75" customHeight="1">
      <c r="A348" s="96">
        <v>350</v>
      </c>
      <c r="B348" s="97" t="s">
        <v>27</v>
      </c>
      <c r="C348" s="96" t="s">
        <v>3048</v>
      </c>
      <c r="D348" s="96" t="s">
        <v>3049</v>
      </c>
      <c r="E348" s="96" t="s">
        <v>2602</v>
      </c>
      <c r="F348" s="96" t="s">
        <v>3050</v>
      </c>
      <c r="G348" s="99" t="s">
        <v>39</v>
      </c>
      <c r="H348" s="100" t="s">
        <v>89</v>
      </c>
      <c r="I348" s="101" t="s">
        <v>3520</v>
      </c>
      <c r="J348" s="96" t="s">
        <v>3051</v>
      </c>
      <c r="K348" s="96" t="s">
        <v>3052</v>
      </c>
      <c r="L348" s="96" t="s">
        <v>3053</v>
      </c>
      <c r="M348" s="96"/>
      <c r="N348" s="96" t="s">
        <v>3048</v>
      </c>
      <c r="O348" s="102" t="s">
        <v>3055</v>
      </c>
      <c r="P348" s="96" t="s">
        <v>7821</v>
      </c>
      <c r="Q348" s="101">
        <v>50.076327999999897</v>
      </c>
      <c r="R348" s="101">
        <v>14.430812</v>
      </c>
      <c r="S348" s="100" t="s">
        <v>52</v>
      </c>
      <c r="T348" s="103" t="s">
        <v>58</v>
      </c>
      <c r="U348" s="103" t="s">
        <v>58</v>
      </c>
      <c r="V348" s="103" t="s">
        <v>58</v>
      </c>
      <c r="W348" s="103" t="s">
        <v>59</v>
      </c>
    </row>
    <row r="349" spans="1:23" ht="15.75" customHeight="1">
      <c r="A349" s="96">
        <v>351</v>
      </c>
      <c r="B349" s="97" t="s">
        <v>27</v>
      </c>
      <c r="C349" s="96" t="s">
        <v>3057</v>
      </c>
      <c r="D349" s="96" t="s">
        <v>3059</v>
      </c>
      <c r="E349" s="96" t="s">
        <v>55</v>
      </c>
      <c r="F349" s="96" t="s">
        <v>3060</v>
      </c>
      <c r="G349" s="99" t="s">
        <v>39</v>
      </c>
      <c r="H349" s="100" t="s">
        <v>40</v>
      </c>
      <c r="I349" s="101">
        <v>2016</v>
      </c>
      <c r="J349" s="102" t="str">
        <f>HYPERLINK("http://tovarnaslany.cz","http://tovarnaslany.cz")</f>
        <v>http://tovarnaslany.cz</v>
      </c>
      <c r="K349" s="102" t="str">
        <f>HYPERLINK("https://www.facebook.com/Tov%C3%A1rna-Slan%C3%BD-536538816388564","https://www.facebook.com/Tov%C3%A1rna-Slan%C3%BD-536538816388564")</f>
        <v>https://www.facebook.com/Tov%C3%A1rna-Slan%C3%BD-536538816388564</v>
      </c>
      <c r="L349" s="96" t="s">
        <v>3061</v>
      </c>
      <c r="M349" s="96"/>
      <c r="N349" s="96" t="s">
        <v>3062</v>
      </c>
      <c r="O349" s="102" t="s">
        <v>3063</v>
      </c>
      <c r="P349" s="96" t="s">
        <v>7822</v>
      </c>
      <c r="Q349" s="96">
        <v>50.228619000000002</v>
      </c>
      <c r="R349" s="96">
        <v>14.077971</v>
      </c>
      <c r="S349" s="100" t="s">
        <v>52</v>
      </c>
      <c r="T349" s="103" t="s">
        <v>71</v>
      </c>
      <c r="U349" s="103" t="s">
        <v>72</v>
      </c>
      <c r="V349" s="103" t="s">
        <v>55</v>
      </c>
      <c r="W349" s="103" t="s">
        <v>55</v>
      </c>
    </row>
    <row r="350" spans="1:23" ht="15.75" customHeight="1">
      <c r="A350" s="96">
        <v>352</v>
      </c>
      <c r="B350" s="97" t="s">
        <v>27</v>
      </c>
      <c r="C350" s="96" t="s">
        <v>3065</v>
      </c>
      <c r="D350" s="96" t="s">
        <v>3066</v>
      </c>
      <c r="E350" s="96" t="s">
        <v>3067</v>
      </c>
      <c r="F350" s="96" t="s">
        <v>3068</v>
      </c>
      <c r="G350" s="99" t="s">
        <v>39</v>
      </c>
      <c r="H350" s="100" t="s">
        <v>69</v>
      </c>
      <c r="I350" s="101">
        <v>2016</v>
      </c>
      <c r="J350" s="102" t="str">
        <f>HYPERLINK("http://www.duckdog.cz","http://www.duckdog.cz")</f>
        <v>http://www.duckdog.cz</v>
      </c>
      <c r="K350" s="102" t="str">
        <f>HYPERLINK("https://www.facebook.com/duckdogcz","https://www.facebook.com/duckdogcz")</f>
        <v>https://www.facebook.com/duckdogcz</v>
      </c>
      <c r="L350" s="96" t="s">
        <v>3069</v>
      </c>
      <c r="M350" s="96" t="s">
        <v>3070</v>
      </c>
      <c r="N350" s="96" t="s">
        <v>3065</v>
      </c>
      <c r="O350" s="102" t="s">
        <v>3071</v>
      </c>
      <c r="P350" s="96" t="s">
        <v>3072</v>
      </c>
      <c r="Q350" s="96">
        <v>49.087605799999999</v>
      </c>
      <c r="R350" s="96">
        <v>16.5897261</v>
      </c>
      <c r="S350" s="100" t="s">
        <v>52</v>
      </c>
      <c r="T350" s="103" t="s">
        <v>325</v>
      </c>
      <c r="U350" s="103" t="s">
        <v>952</v>
      </c>
      <c r="V350" s="103" t="s">
        <v>2114</v>
      </c>
      <c r="W350" s="103" t="s">
        <v>3067</v>
      </c>
    </row>
    <row r="351" spans="1:23" ht="15.75" customHeight="1">
      <c r="A351" s="96">
        <v>353</v>
      </c>
      <c r="B351" s="97" t="s">
        <v>27</v>
      </c>
      <c r="C351" s="96" t="s">
        <v>3073</v>
      </c>
      <c r="D351" s="96" t="s">
        <v>3074</v>
      </c>
      <c r="E351" s="96" t="s">
        <v>3075</v>
      </c>
      <c r="F351" s="96" t="s">
        <v>3076</v>
      </c>
      <c r="G351" s="99" t="s">
        <v>39</v>
      </c>
      <c r="H351" s="100" t="s">
        <v>69</v>
      </c>
      <c r="I351" s="101">
        <v>2016</v>
      </c>
      <c r="J351" s="102" t="str">
        <f>HYPERLINK("http://www.pivovarkunratice.cz","http://www.pivovarkunratice.cz")</f>
        <v>http://www.pivovarkunratice.cz</v>
      </c>
      <c r="K351" s="102" t="str">
        <f>HYPERLINK("https://www.facebook.com/Pivovar-Kunratice-1514390538801047","https://www.facebook.com/Pivovar-Kunratice-1514390538801047")</f>
        <v>https://www.facebook.com/Pivovar-Kunratice-1514390538801047</v>
      </c>
      <c r="L351" s="96" t="s">
        <v>3077</v>
      </c>
      <c r="M351" s="96"/>
      <c r="N351" s="96" t="s">
        <v>3079</v>
      </c>
      <c r="O351" s="96"/>
      <c r="P351" s="96" t="s">
        <v>7823</v>
      </c>
      <c r="Q351" s="96">
        <v>50.007629000000001</v>
      </c>
      <c r="R351" s="96">
        <v>14.4800679999999</v>
      </c>
      <c r="S351" s="100" t="s">
        <v>7447</v>
      </c>
      <c r="T351" s="103" t="s">
        <v>58</v>
      </c>
      <c r="U351" s="103" t="s">
        <v>58</v>
      </c>
      <c r="V351" s="103" t="s">
        <v>58</v>
      </c>
      <c r="W351" s="103" t="s">
        <v>59</v>
      </c>
    </row>
    <row r="352" spans="1:23" ht="15.75" customHeight="1">
      <c r="A352" s="96">
        <v>354</v>
      </c>
      <c r="B352" s="97" t="s">
        <v>27</v>
      </c>
      <c r="C352" s="96" t="s">
        <v>3081</v>
      </c>
      <c r="D352" s="96" t="s">
        <v>3082</v>
      </c>
      <c r="E352" s="96" t="s">
        <v>3083</v>
      </c>
      <c r="F352" s="96" t="s">
        <v>3084</v>
      </c>
      <c r="G352" s="99" t="s">
        <v>39</v>
      </c>
      <c r="H352" s="100" t="s">
        <v>89</v>
      </c>
      <c r="I352" s="101" t="s">
        <v>3121</v>
      </c>
      <c r="J352" s="102" t="str">
        <f>HYPERLINK("http://www.dedkovopivo.eu","http://www.dedkovopivo.eu")</f>
        <v>http://www.dedkovopivo.eu</v>
      </c>
      <c r="K352" s="102" t="str">
        <f>HYPERLINK("https://www.facebook.com/dedkovopivo","https://www.facebook.com/dedkovopivo")</f>
        <v>https://www.facebook.com/dedkovopivo</v>
      </c>
      <c r="L352" s="96" t="s">
        <v>3085</v>
      </c>
      <c r="M352" s="96"/>
      <c r="N352" s="96" t="s">
        <v>3087</v>
      </c>
      <c r="O352" s="96"/>
      <c r="P352" s="96" t="s">
        <v>7824</v>
      </c>
      <c r="Q352" s="96">
        <v>49.479019999999899</v>
      </c>
      <c r="R352" s="96">
        <v>15.640981</v>
      </c>
      <c r="S352" s="100" t="s">
        <v>7447</v>
      </c>
      <c r="T352" s="103" t="s">
        <v>144</v>
      </c>
      <c r="U352" s="103" t="s">
        <v>636</v>
      </c>
      <c r="V352" s="103" t="s">
        <v>636</v>
      </c>
      <c r="W352" s="103" t="s">
        <v>3083</v>
      </c>
    </row>
    <row r="353" spans="1:23" ht="15.75" customHeight="1">
      <c r="A353" s="96">
        <v>355</v>
      </c>
      <c r="B353" s="97" t="s">
        <v>27</v>
      </c>
      <c r="C353" s="96" t="s">
        <v>3090</v>
      </c>
      <c r="D353" s="96" t="s">
        <v>3091</v>
      </c>
      <c r="E353" s="96" t="s">
        <v>1034</v>
      </c>
      <c r="F353" s="96" t="s">
        <v>3092</v>
      </c>
      <c r="G353" s="99" t="s">
        <v>39</v>
      </c>
      <c r="H353" s="100" t="s">
        <v>40</v>
      </c>
      <c r="I353" s="101">
        <v>2016</v>
      </c>
      <c r="J353" s="102" t="str">
        <f>HYPERLINK("http://riegrovka.eu","http://riegrovka.eu")</f>
        <v>http://riegrovka.eu</v>
      </c>
      <c r="K353" s="102" t="str">
        <f>HYPERLINK("https://www.facebook.com/Minipivovar-a-steakhouse-Riegrovka-1715011785385320","https://www.facebook.com/Minipivovar-a-steakhouse-Riegrovka-1715011785385320")</f>
        <v>https://www.facebook.com/Minipivovar-a-steakhouse-Riegrovka-1715011785385320</v>
      </c>
      <c r="L353" s="96" t="s">
        <v>3094</v>
      </c>
      <c r="M353" s="96"/>
      <c r="N353" s="96" t="s">
        <v>3090</v>
      </c>
      <c r="O353" s="102" t="s">
        <v>3095</v>
      </c>
      <c r="P353" s="96" t="s">
        <v>7825</v>
      </c>
      <c r="Q353" s="96">
        <v>49.594943999999899</v>
      </c>
      <c r="R353" s="96">
        <v>17.248313</v>
      </c>
      <c r="S353" s="100" t="s">
        <v>52</v>
      </c>
      <c r="T353" s="103" t="s">
        <v>312</v>
      </c>
      <c r="U353" s="103" t="s">
        <v>1034</v>
      </c>
      <c r="V353" s="103" t="s">
        <v>1034</v>
      </c>
      <c r="W353" s="103" t="s">
        <v>1034</v>
      </c>
    </row>
    <row r="354" spans="1:23" ht="15.75" customHeight="1">
      <c r="A354" s="96">
        <v>356</v>
      </c>
      <c r="B354" s="97" t="s">
        <v>27</v>
      </c>
      <c r="C354" s="96" t="s">
        <v>3097</v>
      </c>
      <c r="D354" s="96" t="s">
        <v>3098</v>
      </c>
      <c r="E354" s="96" t="s">
        <v>3099</v>
      </c>
      <c r="F354" s="96" t="s">
        <v>3100</v>
      </c>
      <c r="G354" s="99" t="s">
        <v>39</v>
      </c>
      <c r="H354" s="100" t="s">
        <v>40</v>
      </c>
      <c r="I354" s="101">
        <v>2016</v>
      </c>
      <c r="J354" s="102" t="str">
        <f>HYPERLINK("http://www.pivovartrautenberk.cz","http://www.pivovartrautenberk.cz")</f>
        <v>http://www.pivovartrautenberk.cz</v>
      </c>
      <c r="K354" s="102" t="str">
        <f>HYPERLINK("https://www.facebook.com/PivovarTrautenberk","https://www.facebook.com/PivovarTrautenberk")</f>
        <v>https://www.facebook.com/PivovarTrautenberk</v>
      </c>
      <c r="L354" s="96" t="s">
        <v>3102</v>
      </c>
      <c r="M354" s="96"/>
      <c r="N354" s="96" t="s">
        <v>3097</v>
      </c>
      <c r="O354" s="96"/>
      <c r="P354" s="96" t="s">
        <v>7826</v>
      </c>
      <c r="Q354" s="96">
        <v>50.7455199999999</v>
      </c>
      <c r="R354" s="96">
        <v>15.822017000000001</v>
      </c>
      <c r="S354" s="100" t="s">
        <v>7447</v>
      </c>
      <c r="T354" s="103" t="s">
        <v>207</v>
      </c>
      <c r="U354" s="103" t="s">
        <v>586</v>
      </c>
      <c r="V354" s="103" t="s">
        <v>586</v>
      </c>
      <c r="W354" s="103" t="s">
        <v>3627</v>
      </c>
    </row>
    <row r="355" spans="1:23" ht="15.75" customHeight="1">
      <c r="A355" s="96">
        <v>357</v>
      </c>
      <c r="B355" s="97" t="s">
        <v>27</v>
      </c>
      <c r="C355" s="110">
        <v>713</v>
      </c>
      <c r="D355" s="96" t="s">
        <v>3105</v>
      </c>
      <c r="E355" s="96" t="s">
        <v>208</v>
      </c>
      <c r="F355" s="96" t="s">
        <v>3106</v>
      </c>
      <c r="G355" s="99" t="s">
        <v>39</v>
      </c>
      <c r="H355" s="100" t="s">
        <v>60</v>
      </c>
      <c r="I355" s="101">
        <v>2015</v>
      </c>
      <c r="J355" s="102" t="str">
        <f>HYPERLINK("http://www.hradeckepivo.cz","http://www.hradeckepivo.cz")</f>
        <v>http://www.hradeckepivo.cz</v>
      </c>
      <c r="K355" s="102" t="str">
        <f>HYPERLINK("https://www.facebook.com/hradeckepivo","https://www.facebook.com/hradeckepivo")</f>
        <v>https://www.facebook.com/hradeckepivo</v>
      </c>
      <c r="L355" s="96" t="s">
        <v>3107</v>
      </c>
      <c r="M355" s="96"/>
      <c r="N355" s="96" t="s">
        <v>3108</v>
      </c>
      <c r="O355" s="102" t="s">
        <v>3110</v>
      </c>
      <c r="P355" s="96" t="s">
        <v>7827</v>
      </c>
      <c r="Q355" s="96">
        <v>50.209066999999898</v>
      </c>
      <c r="R355" s="96">
        <v>15.814399</v>
      </c>
      <c r="S355" s="100" t="s">
        <v>52</v>
      </c>
      <c r="T355" s="103" t="s">
        <v>207</v>
      </c>
      <c r="U355" s="103" t="s">
        <v>208</v>
      </c>
      <c r="V355" s="103" t="s">
        <v>208</v>
      </c>
      <c r="W355" s="103" t="s">
        <v>208</v>
      </c>
    </row>
    <row r="356" spans="1:23" ht="15.75" customHeight="1">
      <c r="A356" s="96">
        <v>358</v>
      </c>
      <c r="B356" s="97" t="s">
        <v>27</v>
      </c>
      <c r="C356" s="96" t="s">
        <v>3112</v>
      </c>
      <c r="D356" s="96" t="s">
        <v>3113</v>
      </c>
      <c r="E356" s="96" t="s">
        <v>3114</v>
      </c>
      <c r="F356" s="96" t="s">
        <v>3115</v>
      </c>
      <c r="G356" s="99" t="s">
        <v>39</v>
      </c>
      <c r="H356" s="100" t="s">
        <v>40</v>
      </c>
      <c r="I356" s="101">
        <v>2015</v>
      </c>
      <c r="J356" s="102" t="str">
        <f>HYPERLINK("http://www.cerny-orel.cz","http://www.cerny-orel.cz")</f>
        <v>http://www.cerny-orel.cz</v>
      </c>
      <c r="K356" s="102" t="str">
        <f>HYPERLINK("https://www.facebook.com/Restaurace-%C4%8Cern%C3%BD-Orel-443122972453578","https://www.facebook.com/Restaurace-%C4%8Cern%C3%BD-Orel-443122972453578")</f>
        <v>https://www.facebook.com/Restaurace-%C4%8Cern%C3%BD-Orel-443122972453578</v>
      </c>
      <c r="L356" s="96" t="s">
        <v>3117</v>
      </c>
      <c r="M356" s="96"/>
      <c r="N356" s="96" t="s">
        <v>3118</v>
      </c>
      <c r="O356" s="107" t="s">
        <v>3648</v>
      </c>
      <c r="P356" s="96" t="s">
        <v>7828</v>
      </c>
      <c r="Q356" s="96">
        <v>50.623185999999897</v>
      </c>
      <c r="R356" s="96">
        <v>13.690014</v>
      </c>
      <c r="S356" s="100" t="s">
        <v>52</v>
      </c>
      <c r="T356" s="103" t="s">
        <v>353</v>
      </c>
      <c r="U356" s="103" t="s">
        <v>2677</v>
      </c>
      <c r="V356" s="103" t="s">
        <v>2677</v>
      </c>
      <c r="W356" s="103" t="s">
        <v>3114</v>
      </c>
    </row>
    <row r="357" spans="1:23" ht="15.75" customHeight="1">
      <c r="A357" s="96">
        <v>359</v>
      </c>
      <c r="B357" s="97" t="s">
        <v>27</v>
      </c>
      <c r="C357" s="96" t="s">
        <v>3122</v>
      </c>
      <c r="D357" s="96" t="s">
        <v>3123</v>
      </c>
      <c r="E357" s="96" t="s">
        <v>3124</v>
      </c>
      <c r="F357" s="96" t="s">
        <v>3125</v>
      </c>
      <c r="G357" s="99" t="s">
        <v>39</v>
      </c>
      <c r="H357" s="100" t="s">
        <v>40</v>
      </c>
      <c r="I357" s="101">
        <v>2015</v>
      </c>
      <c r="J357" s="102" t="str">
        <f>HYPERLINK("http://www.harleypub.com","http://www.harleypub.com")</f>
        <v>http://www.harleypub.com</v>
      </c>
      <c r="K357" s="107" t="s">
        <v>3664</v>
      </c>
      <c r="L357" s="96" t="s">
        <v>3126</v>
      </c>
      <c r="M357" s="96"/>
      <c r="N357" s="96" t="s">
        <v>3127</v>
      </c>
      <c r="O357" s="102" t="s">
        <v>3128</v>
      </c>
      <c r="P357" s="96" t="s">
        <v>7829</v>
      </c>
      <c r="Q357" s="96">
        <v>49.201396000000003</v>
      </c>
      <c r="R357" s="96">
        <v>17.533145000000001</v>
      </c>
      <c r="S357" s="100" t="s">
        <v>52</v>
      </c>
      <c r="T357" s="103" t="s">
        <v>97</v>
      </c>
      <c r="U357" s="103" t="s">
        <v>2156</v>
      </c>
      <c r="V357" s="103" t="s">
        <v>3124</v>
      </c>
      <c r="W357" s="103" t="s">
        <v>3124</v>
      </c>
    </row>
    <row r="358" spans="1:23" ht="15.75" customHeight="1">
      <c r="A358" s="96">
        <v>360</v>
      </c>
      <c r="B358" s="97" t="s">
        <v>27</v>
      </c>
      <c r="C358" s="96" t="s">
        <v>3130</v>
      </c>
      <c r="D358" s="96" t="s">
        <v>3131</v>
      </c>
      <c r="E358" s="96" t="s">
        <v>288</v>
      </c>
      <c r="F358" s="96" t="s">
        <v>3132</v>
      </c>
      <c r="G358" s="99" t="s">
        <v>39</v>
      </c>
      <c r="H358" s="100" t="s">
        <v>40</v>
      </c>
      <c r="I358" s="101">
        <v>2015</v>
      </c>
      <c r="J358" s="102" t="str">
        <f>HYPERLINK("http://www.holendr.cz","http://www.holendr.cz")</f>
        <v>http://www.holendr.cz</v>
      </c>
      <c r="K358" s="102" t="str">
        <f>HYPERLINK("https://www.facebook.com/pivovar.holendr","https://www.facebook.com/pivovar.holendr")</f>
        <v>https://www.facebook.com/pivovar.holendr</v>
      </c>
      <c r="L358" s="96" t="s">
        <v>3133</v>
      </c>
      <c r="M358" s="96"/>
      <c r="N358" s="96" t="s">
        <v>3130</v>
      </c>
      <c r="O358" s="102" t="s">
        <v>3135</v>
      </c>
      <c r="P358" s="96" t="s">
        <v>7830</v>
      </c>
      <c r="Q358" s="96">
        <v>49.481628999999899</v>
      </c>
      <c r="R358" s="96">
        <v>17.9670209999999</v>
      </c>
      <c r="S358" s="100" t="s">
        <v>52</v>
      </c>
      <c r="T358" s="103" t="s">
        <v>97</v>
      </c>
      <c r="U358" s="103" t="s">
        <v>287</v>
      </c>
      <c r="V358" s="103" t="s">
        <v>288</v>
      </c>
      <c r="W358" s="103" t="s">
        <v>288</v>
      </c>
    </row>
    <row r="359" spans="1:23" ht="15.75" customHeight="1">
      <c r="A359" s="96">
        <v>361</v>
      </c>
      <c r="B359" s="97" t="s">
        <v>27</v>
      </c>
      <c r="C359" s="96" t="s">
        <v>3137</v>
      </c>
      <c r="D359" s="96" t="s">
        <v>3138</v>
      </c>
      <c r="E359" s="96" t="s">
        <v>3139</v>
      </c>
      <c r="F359" s="96" t="s">
        <v>3140</v>
      </c>
      <c r="G359" s="99" t="s">
        <v>39</v>
      </c>
      <c r="H359" s="100" t="s">
        <v>69</v>
      </c>
      <c r="I359" s="101">
        <v>2015</v>
      </c>
      <c r="J359" s="102" t="str">
        <f>HYPERLINK("http://www.pivohusar.cz","http://www.pivohusar.cz")</f>
        <v>http://www.pivohusar.cz</v>
      </c>
      <c r="K359" s="102" t="str">
        <f>HYPERLINK("https://www.facebook.com/www.pivohusar.cz","https://www.facebook.com/www.pivohusar.cz")</f>
        <v>https://www.facebook.com/www.pivohusar.cz</v>
      </c>
      <c r="L359" s="96" t="s">
        <v>3141</v>
      </c>
      <c r="M359" s="96"/>
      <c r="N359" s="96" t="s">
        <v>3143</v>
      </c>
      <c r="O359" s="96"/>
      <c r="P359" s="96" t="s">
        <v>7831</v>
      </c>
      <c r="Q359" s="96">
        <v>49.283219000000003</v>
      </c>
      <c r="R359" s="96">
        <v>17.171433</v>
      </c>
      <c r="S359" s="100" t="s">
        <v>7447</v>
      </c>
      <c r="T359" s="103" t="s">
        <v>312</v>
      </c>
      <c r="U359" s="103" t="s">
        <v>622</v>
      </c>
      <c r="V359" s="103" t="s">
        <v>622</v>
      </c>
      <c r="W359" s="103" t="s">
        <v>3139</v>
      </c>
    </row>
    <row r="360" spans="1:23" ht="15.75" customHeight="1">
      <c r="A360" s="96">
        <v>362</v>
      </c>
      <c r="B360" s="97" t="s">
        <v>27</v>
      </c>
      <c r="C360" s="96" t="s">
        <v>953</v>
      </c>
      <c r="D360" s="96" t="s">
        <v>3145</v>
      </c>
      <c r="E360" s="96" t="s">
        <v>953</v>
      </c>
      <c r="F360" s="96" t="s">
        <v>3146</v>
      </c>
      <c r="G360" s="99" t="s">
        <v>39</v>
      </c>
      <c r="H360" s="100" t="s">
        <v>69</v>
      </c>
      <c r="I360" s="101">
        <v>2015</v>
      </c>
      <c r="J360" s="102" t="str">
        <f>HYPERLINK("http://www.pivovartisnov.cz","http://www.pivovartisnov.cz")</f>
        <v>http://www.pivovartisnov.cz</v>
      </c>
      <c r="K360" s="102" t="str">
        <f>HYPERLINK("https://www.facebook.com/pivovartisnov","https://www.facebook.com/pivovartisnov")</f>
        <v>https://www.facebook.com/pivovartisnov</v>
      </c>
      <c r="L360" s="96" t="s">
        <v>3147</v>
      </c>
      <c r="M360" s="96"/>
      <c r="N360" s="96" t="s">
        <v>3149</v>
      </c>
      <c r="O360" s="102" t="s">
        <v>3151</v>
      </c>
      <c r="P360" s="96" t="s">
        <v>3152</v>
      </c>
      <c r="Q360" s="96">
        <v>49.344527800000002</v>
      </c>
      <c r="R360" s="96">
        <v>16.4198083</v>
      </c>
      <c r="S360" s="100" t="s">
        <v>52</v>
      </c>
      <c r="T360" s="103" t="s">
        <v>325</v>
      </c>
      <c r="U360" s="103" t="s">
        <v>952</v>
      </c>
      <c r="V360" s="103" t="s">
        <v>953</v>
      </c>
      <c r="W360" s="103" t="s">
        <v>953</v>
      </c>
    </row>
    <row r="361" spans="1:23" ht="15.75" customHeight="1">
      <c r="A361" s="96">
        <v>363</v>
      </c>
      <c r="B361" s="97" t="s">
        <v>27</v>
      </c>
      <c r="C361" s="96" t="s">
        <v>3153</v>
      </c>
      <c r="D361" s="96" t="s">
        <v>3154</v>
      </c>
      <c r="E361" s="96" t="s">
        <v>767</v>
      </c>
      <c r="F361" s="96" t="s">
        <v>3155</v>
      </c>
      <c r="G361" s="99" t="s">
        <v>39</v>
      </c>
      <c r="H361" s="100" t="s">
        <v>40</v>
      </c>
      <c r="I361" s="101">
        <v>2016</v>
      </c>
      <c r="J361" s="102" t="str">
        <f>HYPERLINK("http://biskupskypivovar.cz","http://biskupskypivovar.cz")</f>
        <v>http://biskupskypivovar.cz</v>
      </c>
      <c r="K361" s="100" t="s">
        <v>3691</v>
      </c>
      <c r="L361" s="96" t="s">
        <v>3156</v>
      </c>
      <c r="M361" s="96"/>
      <c r="N361" s="96" t="s">
        <v>3158</v>
      </c>
      <c r="O361" s="102" t="s">
        <v>3159</v>
      </c>
      <c r="P361" s="96" t="s">
        <v>7832</v>
      </c>
      <c r="Q361" s="96">
        <v>50.5374839999999</v>
      </c>
      <c r="R361" s="96">
        <v>14.1270349999999</v>
      </c>
      <c r="S361" s="100" t="s">
        <v>52</v>
      </c>
      <c r="T361" s="103" t="s">
        <v>353</v>
      </c>
      <c r="U361" s="103" t="s">
        <v>767</v>
      </c>
      <c r="V361" s="103" t="s">
        <v>767</v>
      </c>
      <c r="W361" s="103" t="s">
        <v>767</v>
      </c>
    </row>
    <row r="362" spans="1:23" ht="15.75" customHeight="1">
      <c r="A362" s="96">
        <v>364</v>
      </c>
      <c r="B362" s="97" t="s">
        <v>27</v>
      </c>
      <c r="C362" s="96" t="s">
        <v>3161</v>
      </c>
      <c r="D362" s="96" t="s">
        <v>3162</v>
      </c>
      <c r="E362" s="96" t="s">
        <v>3161</v>
      </c>
      <c r="F362" s="96" t="s">
        <v>3163</v>
      </c>
      <c r="G362" s="99" t="s">
        <v>39</v>
      </c>
      <c r="H362" s="100" t="s">
        <v>60</v>
      </c>
      <c r="I362" s="101">
        <v>2015</v>
      </c>
      <c r="J362" s="102" t="str">
        <f>HYPERLINK("http://www.pivovarbitov.cz","http://www.pivovarbitov.cz")</f>
        <v>http://www.pivovarbitov.cz</v>
      </c>
      <c r="K362" s="102" t="str">
        <f>HYPERLINK("https://www.facebook.com/pivovarbitov","https://www.facebook.com/pivovarbitov")</f>
        <v>https://www.facebook.com/pivovarbitov</v>
      </c>
      <c r="L362" s="96" t="s">
        <v>3165</v>
      </c>
      <c r="M362" s="96"/>
      <c r="N362" s="96" t="s">
        <v>3166</v>
      </c>
      <c r="O362" s="96"/>
      <c r="P362" s="96" t="s">
        <v>7833</v>
      </c>
      <c r="Q362" s="96">
        <v>48.9375736</v>
      </c>
      <c r="R362" s="96">
        <v>15.7297744</v>
      </c>
      <c r="S362" s="100" t="s">
        <v>7447</v>
      </c>
      <c r="T362" s="103" t="s">
        <v>325</v>
      </c>
      <c r="U362" s="103" t="s">
        <v>555</v>
      </c>
      <c r="V362" s="103" t="s">
        <v>555</v>
      </c>
      <c r="W362" s="103" t="s">
        <v>3161</v>
      </c>
    </row>
    <row r="363" spans="1:23" ht="15.75" customHeight="1">
      <c r="A363" s="96">
        <v>365</v>
      </c>
      <c r="B363" s="97" t="s">
        <v>27</v>
      </c>
      <c r="C363" s="96" t="s">
        <v>3168</v>
      </c>
      <c r="D363" s="96" t="s">
        <v>3169</v>
      </c>
      <c r="E363" s="96" t="s">
        <v>3170</v>
      </c>
      <c r="F363" s="96" t="s">
        <v>3171</v>
      </c>
      <c r="G363" s="99" t="s">
        <v>39</v>
      </c>
      <c r="H363" s="100" t="s">
        <v>40</v>
      </c>
      <c r="I363" s="101">
        <v>2015</v>
      </c>
      <c r="J363" s="102" t="str">
        <f>HYPERLINK("http://ucapa.eu","http://ucapa.eu")</f>
        <v>http://ucapa.eu</v>
      </c>
      <c r="K363" s="102" t="str">
        <f>HYPERLINK("https://www.facebook.com/pivovarprichovice","https://www.facebook.com/pivovarprichovice")</f>
        <v>https://www.facebook.com/pivovarprichovice</v>
      </c>
      <c r="L363" s="96" t="s">
        <v>3172</v>
      </c>
      <c r="M363" s="96"/>
      <c r="N363" s="96" t="s">
        <v>3174</v>
      </c>
      <c r="O363" s="96"/>
      <c r="P363" s="96" t="s">
        <v>7834</v>
      </c>
      <c r="Q363" s="96">
        <v>50.739747000000001</v>
      </c>
      <c r="R363" s="96">
        <v>15.346002</v>
      </c>
      <c r="S363" s="100" t="s">
        <v>7447</v>
      </c>
      <c r="T363" s="103" t="s">
        <v>67</v>
      </c>
      <c r="U363" s="103" t="s">
        <v>3469</v>
      </c>
      <c r="V363" s="103" t="s">
        <v>1241</v>
      </c>
      <c r="W363" s="103" t="s">
        <v>3710</v>
      </c>
    </row>
    <row r="364" spans="1:23" ht="15.75" customHeight="1">
      <c r="A364" s="96">
        <v>366</v>
      </c>
      <c r="B364" s="97" t="s">
        <v>27</v>
      </c>
      <c r="C364" s="96" t="s">
        <v>3176</v>
      </c>
      <c r="D364" s="96" t="s">
        <v>3177</v>
      </c>
      <c r="E364" s="96" t="s">
        <v>555</v>
      </c>
      <c r="F364" s="96" t="s">
        <v>556</v>
      </c>
      <c r="G364" s="99" t="s">
        <v>39</v>
      </c>
      <c r="H364" s="100" t="s">
        <v>69</v>
      </c>
      <c r="I364" s="101">
        <v>2015</v>
      </c>
      <c r="J364" s="102" t="str">
        <f>HYPERLINK("http://www.pivovarznojmo.cz","http://www.pivovarznojmo.cz")</f>
        <v>http://www.pivovarznojmo.cz</v>
      </c>
      <c r="K364" s="102" t="str">
        <f>HYPERLINK("https://www.facebook.com/znojemskepivo","https://www.facebook.com/znojemskepivo")</f>
        <v>https://www.facebook.com/znojemskepivo</v>
      </c>
      <c r="L364" s="96" t="s">
        <v>3178</v>
      </c>
      <c r="M364" s="96"/>
      <c r="N364" s="96" t="s">
        <v>3180</v>
      </c>
      <c r="O364" s="96"/>
      <c r="P364" s="96" t="s">
        <v>7536</v>
      </c>
      <c r="Q364" s="96">
        <v>48.856231999999899</v>
      </c>
      <c r="R364" s="96">
        <v>16.045102</v>
      </c>
      <c r="S364" s="100" t="s">
        <v>7447</v>
      </c>
      <c r="T364" s="103" t="s">
        <v>325</v>
      </c>
      <c r="U364" s="103" t="s">
        <v>555</v>
      </c>
      <c r="V364" s="103" t="s">
        <v>555</v>
      </c>
      <c r="W364" s="103" t="s">
        <v>555</v>
      </c>
    </row>
    <row r="365" spans="1:23" ht="15.75" customHeight="1">
      <c r="A365" s="96">
        <v>367</v>
      </c>
      <c r="B365" s="97" t="s">
        <v>27</v>
      </c>
      <c r="C365" s="96" t="s">
        <v>3181</v>
      </c>
      <c r="D365" s="96" t="s">
        <v>3182</v>
      </c>
      <c r="E365" s="96" t="s">
        <v>3183</v>
      </c>
      <c r="F365" s="96" t="s">
        <v>3184</v>
      </c>
      <c r="G365" s="99" t="s">
        <v>39</v>
      </c>
      <c r="H365" s="100" t="s">
        <v>60</v>
      </c>
      <c r="I365" s="101">
        <v>2015</v>
      </c>
      <c r="J365" s="102" t="str">
        <f>HYPERLINK("http://pivovarrezek.cz","http://pivovarrezek.cz")</f>
        <v>http://pivovarrezek.cz</v>
      </c>
      <c r="K365" s="102" t="str">
        <f>HYPERLINK("https://www.facebook.com/www.pivovarrezek.cz","https://www.facebook.com/www.pivovarrezek.cz")</f>
        <v>https://www.facebook.com/www.pivovarrezek.cz</v>
      </c>
      <c r="L365" s="96" t="s">
        <v>3185</v>
      </c>
      <c r="M365" s="96" t="s">
        <v>3187</v>
      </c>
      <c r="N365" s="96" t="s">
        <v>3181</v>
      </c>
      <c r="O365" s="102" t="s">
        <v>3188</v>
      </c>
      <c r="P365" s="96" t="s">
        <v>7835</v>
      </c>
      <c r="Q365" s="96">
        <v>50.696674000000002</v>
      </c>
      <c r="R365" s="96">
        <v>15.268373</v>
      </c>
      <c r="S365" s="100" t="s">
        <v>52</v>
      </c>
      <c r="T365" s="103" t="s">
        <v>67</v>
      </c>
      <c r="U365" s="103" t="s">
        <v>3469</v>
      </c>
      <c r="V365" s="103" t="s">
        <v>3728</v>
      </c>
      <c r="W365" s="103" t="s">
        <v>3183</v>
      </c>
    </row>
    <row r="366" spans="1:23" ht="15.75" customHeight="1">
      <c r="A366" s="96">
        <v>368</v>
      </c>
      <c r="B366" s="97" t="s">
        <v>27</v>
      </c>
      <c r="C366" s="96" t="s">
        <v>3190</v>
      </c>
      <c r="D366" s="96" t="s">
        <v>3191</v>
      </c>
      <c r="E366" s="96" t="s">
        <v>636</v>
      </c>
      <c r="F366" s="96" t="s">
        <v>3192</v>
      </c>
      <c r="G366" s="99" t="s">
        <v>39</v>
      </c>
      <c r="H366" s="100" t="s">
        <v>60</v>
      </c>
      <c r="I366" s="101">
        <v>2015</v>
      </c>
      <c r="J366" s="102" t="str">
        <f>HYPERLINK("http://www.hrboun.cz","http://www.hrboun.cz")</f>
        <v>http://www.hrboun.cz</v>
      </c>
      <c r="K366" s="102" t="str">
        <f>HYPERLINK("https://www.facebook.com/pivovarhrboun.cz","https://www.facebook.com/pivovarhrboun.cz")</f>
        <v>https://www.facebook.com/pivovarhrboun.cz</v>
      </c>
      <c r="L366" s="96" t="s">
        <v>3193</v>
      </c>
      <c r="M366" s="96"/>
      <c r="N366" s="96" t="s">
        <v>3190</v>
      </c>
      <c r="O366" s="96"/>
      <c r="P366" s="96" t="s">
        <v>7836</v>
      </c>
      <c r="Q366" s="96">
        <v>49.426327000000001</v>
      </c>
      <c r="R366" s="96">
        <v>15.599069</v>
      </c>
      <c r="S366" s="100" t="s">
        <v>7447</v>
      </c>
      <c r="T366" s="103" t="s">
        <v>144</v>
      </c>
      <c r="U366" s="103" t="s">
        <v>636</v>
      </c>
      <c r="V366" s="103" t="s">
        <v>636</v>
      </c>
      <c r="W366" s="103" t="s">
        <v>636</v>
      </c>
    </row>
    <row r="367" spans="1:23" ht="15.75" customHeight="1">
      <c r="A367" s="96">
        <v>369</v>
      </c>
      <c r="B367" s="97" t="s">
        <v>27</v>
      </c>
      <c r="C367" s="96" t="s">
        <v>3197</v>
      </c>
      <c r="D367" s="96" t="s">
        <v>3198</v>
      </c>
      <c r="E367" s="96" t="s">
        <v>466</v>
      </c>
      <c r="F367" s="96" t="s">
        <v>3199</v>
      </c>
      <c r="G367" s="99" t="s">
        <v>39</v>
      </c>
      <c r="H367" s="100" t="s">
        <v>40</v>
      </c>
      <c r="I367" s="101">
        <v>2015</v>
      </c>
      <c r="J367" s="102" t="str">
        <f>HYPERLINK("http://hasicpivo.cz","http://hasicpivo.cz")</f>
        <v>http://hasicpivo.cz</v>
      </c>
      <c r="K367" s="102" t="str">
        <f>HYPERLINK("https://www.facebook.com/Pivovar-Hasi%C4%8D-904620922926489","https://www.facebook.com/Pivovar-Hasi%C4%8D-904620922926489")</f>
        <v>https://www.facebook.com/Pivovar-Hasi%C4%8D-904620922926489</v>
      </c>
      <c r="L367" s="96" t="s">
        <v>3200</v>
      </c>
      <c r="M367" s="96"/>
      <c r="N367" s="96" t="s">
        <v>3197</v>
      </c>
      <c r="O367" s="102" t="s">
        <v>3201</v>
      </c>
      <c r="P367" s="96" t="s">
        <v>7837</v>
      </c>
      <c r="Q367" s="96">
        <v>49.988253</v>
      </c>
      <c r="R367" s="96">
        <v>17.463041</v>
      </c>
      <c r="S367" s="100" t="s">
        <v>52</v>
      </c>
      <c r="T367" s="103" t="s">
        <v>121</v>
      </c>
      <c r="U367" s="103" t="s">
        <v>466</v>
      </c>
      <c r="V367" s="103" t="s">
        <v>466</v>
      </c>
      <c r="W367" s="103" t="s">
        <v>466</v>
      </c>
    </row>
    <row r="368" spans="1:23" ht="15.75" customHeight="1">
      <c r="A368" s="96">
        <v>370</v>
      </c>
      <c r="B368" s="97" t="s">
        <v>27</v>
      </c>
      <c r="C368" s="96" t="s">
        <v>218</v>
      </c>
      <c r="D368" s="96" t="s">
        <v>3203</v>
      </c>
      <c r="E368" s="96" t="s">
        <v>218</v>
      </c>
      <c r="F368" s="96" t="s">
        <v>3204</v>
      </c>
      <c r="G368" s="99" t="s">
        <v>39</v>
      </c>
      <c r="H368" s="100" t="s">
        <v>60</v>
      </c>
      <c r="I368" s="101">
        <v>2015</v>
      </c>
      <c r="J368" s="102" t="str">
        <f>HYPERLINK("http://www.klatovskepivo.cz","http://www.klatovskepivo.cz")</f>
        <v>http://www.klatovskepivo.cz</v>
      </c>
      <c r="K368" s="102" t="str">
        <f>HYPERLINK("https://www.facebook.com/klatovskepivo","https://www.facebook.com/klatovskepivo")</f>
        <v>https://www.facebook.com/klatovskepivo</v>
      </c>
      <c r="L368" s="96" t="s">
        <v>3205</v>
      </c>
      <c r="M368" s="96"/>
      <c r="N368" s="96" t="s">
        <v>3206</v>
      </c>
      <c r="O368" s="96"/>
      <c r="P368" s="96" t="s">
        <v>7838</v>
      </c>
      <c r="Q368" s="96">
        <v>49.399264000000002</v>
      </c>
      <c r="R368" s="96">
        <v>13.287421</v>
      </c>
      <c r="S368" s="100" t="s">
        <v>7447</v>
      </c>
      <c r="T368" s="103" t="s">
        <v>217</v>
      </c>
      <c r="U368" s="103" t="s">
        <v>218</v>
      </c>
      <c r="V368" s="103" t="s">
        <v>218</v>
      </c>
      <c r="W368" s="103" t="s">
        <v>218</v>
      </c>
    </row>
    <row r="369" spans="1:23" ht="15.75" customHeight="1">
      <c r="A369" s="96">
        <v>371</v>
      </c>
      <c r="B369" s="97" t="s">
        <v>27</v>
      </c>
      <c r="C369" s="96" t="s">
        <v>3208</v>
      </c>
      <c r="D369" s="96" t="s">
        <v>3209</v>
      </c>
      <c r="E369" s="96" t="s">
        <v>3210</v>
      </c>
      <c r="F369" s="96" t="s">
        <v>3211</v>
      </c>
      <c r="G369" s="99" t="s">
        <v>39</v>
      </c>
      <c r="H369" s="100" t="s">
        <v>69</v>
      </c>
      <c r="I369" s="101">
        <v>2015</v>
      </c>
      <c r="J369" s="96"/>
      <c r="K369" s="102" t="str">
        <f>HYPERLINK("https://www.facebook.com/Ran%C4%8D-Manner-u-Bohdalic-252046428510721","https://www.facebook.com/Ran%C4%8D-Manner-u-Bohdalic-252046428510721")</f>
        <v>https://www.facebook.com/Ran%C4%8D-Manner-u-Bohdalic-252046428510721</v>
      </c>
      <c r="L369" s="96" t="s">
        <v>3212</v>
      </c>
      <c r="M369" s="96"/>
      <c r="N369" s="96" t="s">
        <v>3208</v>
      </c>
      <c r="O369" s="102" t="s">
        <v>3214</v>
      </c>
      <c r="P369" s="96" t="s">
        <v>7839</v>
      </c>
      <c r="Q369" s="96">
        <v>49.222228899999998</v>
      </c>
      <c r="R369" s="96">
        <v>17.039176699999999</v>
      </c>
      <c r="S369" s="100" t="s">
        <v>52</v>
      </c>
      <c r="T369" s="103" t="s">
        <v>325</v>
      </c>
      <c r="U369" s="103" t="s">
        <v>1635</v>
      </c>
      <c r="V369" s="103" t="s">
        <v>1635</v>
      </c>
      <c r="W369" s="103" t="s">
        <v>3210</v>
      </c>
    </row>
    <row r="370" spans="1:23" ht="15.75" customHeight="1">
      <c r="A370" s="96">
        <v>372</v>
      </c>
      <c r="B370" s="97" t="s">
        <v>27</v>
      </c>
      <c r="C370" s="96" t="s">
        <v>3216</v>
      </c>
      <c r="D370" s="96" t="s">
        <v>3217</v>
      </c>
      <c r="E370" s="96" t="s">
        <v>3216</v>
      </c>
      <c r="F370" s="96" t="s">
        <v>3218</v>
      </c>
      <c r="G370" s="99" t="s">
        <v>39</v>
      </c>
      <c r="H370" s="100" t="s">
        <v>40</v>
      </c>
      <c r="I370" s="101">
        <v>2015</v>
      </c>
      <c r="J370" s="102" t="str">
        <f>HYPERLINK("http://www.pivovarplasy.cz","http://www.pivovarplasy.cz")</f>
        <v>http://www.pivovarplasy.cz</v>
      </c>
      <c r="K370" s="102" t="str">
        <f>HYPERLINK("https://www.facebook.com/pivovarplasy","https://www.facebook.com/pivovarplasy")</f>
        <v>https://www.facebook.com/pivovarplasy</v>
      </c>
      <c r="L370" s="96" t="s">
        <v>3219</v>
      </c>
      <c r="M370" s="96"/>
      <c r="N370" s="96" t="s">
        <v>3221</v>
      </c>
      <c r="O370" s="102" t="s">
        <v>3222</v>
      </c>
      <c r="P370" s="96" t="s">
        <v>7840</v>
      </c>
      <c r="Q370" s="96">
        <v>49.935040000000001</v>
      </c>
      <c r="R370" s="96">
        <v>13.3892039999999</v>
      </c>
      <c r="S370" s="100" t="s">
        <v>52</v>
      </c>
      <c r="T370" s="103" t="s">
        <v>217</v>
      </c>
      <c r="U370" s="103" t="s">
        <v>3768</v>
      </c>
      <c r="V370" s="103" t="s">
        <v>3770</v>
      </c>
      <c r="W370" s="103" t="s">
        <v>3216</v>
      </c>
    </row>
    <row r="371" spans="1:23" ht="15.75" customHeight="1">
      <c r="A371" s="96">
        <v>373</v>
      </c>
      <c r="B371" s="97" t="s">
        <v>27</v>
      </c>
      <c r="C371" s="96" t="s">
        <v>3225</v>
      </c>
      <c r="D371" s="96" t="s">
        <v>3226</v>
      </c>
      <c r="E371" s="96" t="s">
        <v>3225</v>
      </c>
      <c r="F371" s="96" t="s">
        <v>3227</v>
      </c>
      <c r="G371" s="99" t="s">
        <v>39</v>
      </c>
      <c r="H371" s="100" t="s">
        <v>60</v>
      </c>
      <c r="I371" s="101">
        <v>2015</v>
      </c>
      <c r="J371" s="102" t="str">
        <f>HYPERLINK("http://www.pivovarchric.cz","http://www.pivovarchric.cz")</f>
        <v>http://www.pivovarchric.cz</v>
      </c>
      <c r="K371" s="102" t="str">
        <f>HYPERLINK("https://www.facebook.com/propolis.os","https://www.facebook.com/propolis.os")</f>
        <v>https://www.facebook.com/propolis.os</v>
      </c>
      <c r="L371" s="96" t="s">
        <v>3229</v>
      </c>
      <c r="M371" s="96"/>
      <c r="N371" s="96" t="s">
        <v>3231</v>
      </c>
      <c r="O371" s="102" t="s">
        <v>3232</v>
      </c>
      <c r="P371" s="96" t="s">
        <v>7841</v>
      </c>
      <c r="Q371" s="96">
        <v>49.971425000000004</v>
      </c>
      <c r="R371" s="96">
        <v>13.648028</v>
      </c>
      <c r="S371" s="100" t="s">
        <v>52</v>
      </c>
      <c r="T371" s="103" t="s">
        <v>217</v>
      </c>
      <c r="U371" s="103" t="s">
        <v>3768</v>
      </c>
      <c r="V371" s="103" t="s">
        <v>3770</v>
      </c>
      <c r="W371" s="103" t="s">
        <v>3225</v>
      </c>
    </row>
    <row r="372" spans="1:23" ht="15.75" customHeight="1">
      <c r="A372" s="96">
        <v>374</v>
      </c>
      <c r="B372" s="97" t="s">
        <v>27</v>
      </c>
      <c r="C372" s="100" t="s">
        <v>3778</v>
      </c>
      <c r="D372" s="100" t="s">
        <v>3779</v>
      </c>
      <c r="E372" s="96" t="s">
        <v>3234</v>
      </c>
      <c r="F372" s="96" t="s">
        <v>3236</v>
      </c>
      <c r="G372" s="99" t="s">
        <v>39</v>
      </c>
      <c r="H372" s="100" t="s">
        <v>60</v>
      </c>
      <c r="I372" s="101">
        <v>2015</v>
      </c>
      <c r="J372" s="102" t="str">
        <f>HYPERLINK("http://www.pivovarkamenice.cz","http://www.pivovarkamenice.cz")</f>
        <v>http://www.pivovarkamenice.cz</v>
      </c>
      <c r="K372" s="102" t="str">
        <f>HYPERLINK("https://www.facebook.com/Pivovar-%C4%8Cesk%C3%A1-Kamenice-1024307694278000","https://www.facebook.com/Pivovar-%C4%8Cesk%C3%A1-Kamenice-1024307694278000")</f>
        <v>https://www.facebook.com/Pivovar-%C4%8Cesk%C3%A1-Kamenice-1024307694278000</v>
      </c>
      <c r="L372" s="107" t="s">
        <v>3780</v>
      </c>
      <c r="M372" s="100" t="s">
        <v>3781</v>
      </c>
      <c r="N372" s="96" t="s">
        <v>3239</v>
      </c>
      <c r="O372" s="102" t="s">
        <v>3240</v>
      </c>
      <c r="P372" s="96" t="s">
        <v>7842</v>
      </c>
      <c r="Q372" s="96">
        <v>50.798029700000001</v>
      </c>
      <c r="R372" s="96">
        <v>14.4148333</v>
      </c>
      <c r="S372" s="100" t="s">
        <v>52</v>
      </c>
      <c r="T372" s="103" t="s">
        <v>353</v>
      </c>
      <c r="U372" s="103" t="s">
        <v>843</v>
      </c>
      <c r="V372" s="103" t="s">
        <v>843</v>
      </c>
      <c r="W372" s="103" t="s">
        <v>3234</v>
      </c>
    </row>
    <row r="373" spans="1:23" ht="15.75" customHeight="1">
      <c r="A373" s="96">
        <v>375</v>
      </c>
      <c r="B373" s="97" t="s">
        <v>27</v>
      </c>
      <c r="C373" s="96" t="s">
        <v>3242</v>
      </c>
      <c r="D373" s="96" t="s">
        <v>3243</v>
      </c>
      <c r="E373" s="96" t="s">
        <v>3244</v>
      </c>
      <c r="F373" s="96" t="s">
        <v>3245</v>
      </c>
      <c r="G373" s="99" t="s">
        <v>39</v>
      </c>
      <c r="H373" s="100" t="s">
        <v>60</v>
      </c>
      <c r="I373" s="101">
        <v>2015</v>
      </c>
      <c r="J373" s="102" t="str">
        <f>HYPERLINK("http://www.gwern.cz","http://www.gwern.cz")</f>
        <v>http://www.gwern.cz</v>
      </c>
      <c r="K373" s="102" t="str">
        <f>HYPERLINK("https://www.facebook.com/pivovargwern","https://www.facebook.com/pivovargwern")</f>
        <v>https://www.facebook.com/pivovargwern</v>
      </c>
      <c r="L373" s="96" t="s">
        <v>3247</v>
      </c>
      <c r="M373" s="96"/>
      <c r="N373" s="96" t="s">
        <v>3242</v>
      </c>
      <c r="O373" s="96"/>
      <c r="P373" s="96" t="s">
        <v>7843</v>
      </c>
      <c r="Q373" s="96">
        <v>49.995686999999897</v>
      </c>
      <c r="R373" s="96">
        <v>14.603237</v>
      </c>
      <c r="S373" s="100" t="s">
        <v>7447</v>
      </c>
      <c r="T373" s="103" t="s">
        <v>71</v>
      </c>
      <c r="U373" s="103" t="s">
        <v>1075</v>
      </c>
      <c r="V373" s="103" t="s">
        <v>1077</v>
      </c>
      <c r="W373" s="103" t="s">
        <v>3244</v>
      </c>
    </row>
    <row r="374" spans="1:23" ht="15.75" customHeight="1">
      <c r="A374" s="96">
        <v>376</v>
      </c>
      <c r="B374" s="97" t="s">
        <v>27</v>
      </c>
      <c r="C374" s="96" t="s">
        <v>3251</v>
      </c>
      <c r="D374" s="96" t="s">
        <v>3252</v>
      </c>
      <c r="E374" s="96" t="s">
        <v>3253</v>
      </c>
      <c r="F374" s="96" t="s">
        <v>3254</v>
      </c>
      <c r="G374" s="99" t="s">
        <v>39</v>
      </c>
      <c r="H374" s="100" t="s">
        <v>60</v>
      </c>
      <c r="I374" s="101">
        <v>2015</v>
      </c>
      <c r="J374" s="102" t="str">
        <f>HYPERLINK("http://www.minipivovarnavyhlidce.cz","http://www.minipivovarnavyhlidce.cz")</f>
        <v>http://www.minipivovarnavyhlidce.cz</v>
      </c>
      <c r="K374" s="102" t="str">
        <f>HYPERLINK("https://www.facebook.com/pivovarnavyhlidce","https://www.facebook.com/pivovarnavyhlidce")</f>
        <v>https://www.facebook.com/pivovarnavyhlidce</v>
      </c>
      <c r="L374" s="96" t="s">
        <v>3255</v>
      </c>
      <c r="M374" s="96"/>
      <c r="N374" s="96" t="s">
        <v>3257</v>
      </c>
      <c r="O374" s="96"/>
      <c r="P374" s="96" t="s">
        <v>7844</v>
      </c>
      <c r="Q374" s="96">
        <v>48.799225</v>
      </c>
      <c r="R374" s="96">
        <v>17.026682999999899</v>
      </c>
      <c r="S374" s="100" t="s">
        <v>7447</v>
      </c>
      <c r="T374" s="103" t="s">
        <v>325</v>
      </c>
      <c r="U374" s="103" t="s">
        <v>256</v>
      </c>
      <c r="V374" s="103" t="s">
        <v>256</v>
      </c>
      <c r="W374" s="103" t="s">
        <v>3253</v>
      </c>
    </row>
    <row r="375" spans="1:23" ht="15.75" customHeight="1">
      <c r="A375" s="96">
        <v>377</v>
      </c>
      <c r="B375" s="97" t="s">
        <v>27</v>
      </c>
      <c r="C375" s="96" t="s">
        <v>3259</v>
      </c>
      <c r="D375" s="96" t="s">
        <v>3260</v>
      </c>
      <c r="E375" s="96" t="s">
        <v>3259</v>
      </c>
      <c r="F375" s="96" t="s">
        <v>3261</v>
      </c>
      <c r="G375" s="99" t="s">
        <v>39</v>
      </c>
      <c r="H375" s="100" t="s">
        <v>69</v>
      </c>
      <c r="I375" s="101">
        <v>2015</v>
      </c>
      <c r="J375" s="102" t="str">
        <f>HYPERLINK("http://www.pivovarhladov.cz","http://www.pivovarhladov.cz")</f>
        <v>http://www.pivovarhladov.cz</v>
      </c>
      <c r="K375" s="102" t="str">
        <f>HYPERLINK("https://www.facebook.com/Pivovar-Hladov-1559866494297642","https://www.facebook.com/Pivovar-Hladov-1559866494297642")</f>
        <v>https://www.facebook.com/Pivovar-Hladov-1559866494297642</v>
      </c>
      <c r="L375" s="96" t="s">
        <v>3262</v>
      </c>
      <c r="M375" s="96"/>
      <c r="N375" s="96" t="s">
        <v>3264</v>
      </c>
      <c r="O375" s="96"/>
      <c r="P375" s="96" t="s">
        <v>7845</v>
      </c>
      <c r="Q375" s="96">
        <v>49.210360000000001</v>
      </c>
      <c r="R375" s="96">
        <v>15.610369</v>
      </c>
      <c r="S375" s="100" t="s">
        <v>7447</v>
      </c>
      <c r="T375" s="103" t="s">
        <v>144</v>
      </c>
      <c r="U375" s="103" t="s">
        <v>636</v>
      </c>
      <c r="V375" s="103" t="s">
        <v>636</v>
      </c>
      <c r="W375" s="103" t="s">
        <v>3259</v>
      </c>
    </row>
    <row r="376" spans="1:23" ht="15.75" customHeight="1">
      <c r="A376" s="96">
        <v>378</v>
      </c>
      <c r="B376" s="97" t="s">
        <v>27</v>
      </c>
      <c r="C376" s="96" t="s">
        <v>3266</v>
      </c>
      <c r="D376" s="96" t="s">
        <v>3267</v>
      </c>
      <c r="E376" s="96" t="s">
        <v>3268</v>
      </c>
      <c r="F376" s="96" t="s">
        <v>3269</v>
      </c>
      <c r="G376" s="99" t="s">
        <v>39</v>
      </c>
      <c r="H376" s="100" t="s">
        <v>89</v>
      </c>
      <c r="I376" s="101" t="s">
        <v>3791</v>
      </c>
      <c r="J376" s="96" t="s">
        <v>3270</v>
      </c>
      <c r="K376" s="96" t="s">
        <v>3271</v>
      </c>
      <c r="L376" s="96" t="s">
        <v>3272</v>
      </c>
      <c r="M376" s="96"/>
      <c r="N376" s="96" t="s">
        <v>3274</v>
      </c>
      <c r="O376" s="96"/>
      <c r="P376" s="96" t="s">
        <v>3276</v>
      </c>
      <c r="Q376" s="101">
        <v>50.189614400000004</v>
      </c>
      <c r="R376" s="101">
        <v>14.647846700000001</v>
      </c>
      <c r="S376" s="100" t="s">
        <v>7447</v>
      </c>
      <c r="T376" s="103" t="s">
        <v>71</v>
      </c>
      <c r="U376" s="103" t="s">
        <v>1075</v>
      </c>
      <c r="V376" s="103" t="s">
        <v>3268</v>
      </c>
      <c r="W376" s="103" t="s">
        <v>3268</v>
      </c>
    </row>
    <row r="377" spans="1:23" ht="15.75" customHeight="1">
      <c r="A377" s="96">
        <v>379</v>
      </c>
      <c r="B377" s="97" t="s">
        <v>27</v>
      </c>
      <c r="C377" s="96" t="s">
        <v>3277</v>
      </c>
      <c r="D377" s="96" t="s">
        <v>3278</v>
      </c>
      <c r="E377" s="96" t="s">
        <v>3279</v>
      </c>
      <c r="F377" s="96" t="s">
        <v>3280</v>
      </c>
      <c r="G377" s="99" t="s">
        <v>39</v>
      </c>
      <c r="H377" s="100" t="s">
        <v>40</v>
      </c>
      <c r="I377" s="101">
        <v>2016</v>
      </c>
      <c r="J377" s="102" t="str">
        <f>HYPERLINK("http://www.balonovyhotel.cz","http://www.balonovyhotel.cz")</f>
        <v>http://www.balonovyhotel.cz</v>
      </c>
      <c r="K377" s="102" t="str">
        <f>HYPERLINK("https://www.facebook.com/Bal%C3%B3nov%C3%BD-pivovar-Rade%C5%A1%C3%ADn-1448309242151973","https://www.facebook.com/Bal%C3%B3nov%C3%BD-pivovar-Rade%C5%A1%C3%ADn-1448309242151973")</f>
        <v>https://www.facebook.com/Bal%C3%B3nov%C3%BD-pivovar-Rade%C5%A1%C3%ADn-1448309242151973</v>
      </c>
      <c r="L377" s="96" t="s">
        <v>3281</v>
      </c>
      <c r="M377" s="96"/>
      <c r="N377" s="96" t="s">
        <v>3283</v>
      </c>
      <c r="O377" s="96"/>
      <c r="P377" s="96" t="s">
        <v>7846</v>
      </c>
      <c r="Q377" s="96">
        <v>49.4683169999999</v>
      </c>
      <c r="R377" s="96">
        <v>16.0897229999999</v>
      </c>
      <c r="S377" s="100" t="s">
        <v>7447</v>
      </c>
      <c r="T377" s="103" t="s">
        <v>144</v>
      </c>
      <c r="U377" s="103" t="s">
        <v>564</v>
      </c>
      <c r="V377" s="103" t="s">
        <v>3803</v>
      </c>
      <c r="W377" s="103" t="s">
        <v>3279</v>
      </c>
    </row>
    <row r="378" spans="1:23" ht="15.75" customHeight="1">
      <c r="A378" s="96">
        <v>380</v>
      </c>
      <c r="B378" s="97" t="s">
        <v>27</v>
      </c>
      <c r="C378" s="96" t="s">
        <v>3285</v>
      </c>
      <c r="D378" s="96" t="s">
        <v>3286</v>
      </c>
      <c r="E378" s="96" t="s">
        <v>1223</v>
      </c>
      <c r="F378" s="96" t="s">
        <v>3287</v>
      </c>
      <c r="G378" s="99" t="s">
        <v>39</v>
      </c>
      <c r="H378" s="100" t="s">
        <v>69</v>
      </c>
      <c r="I378" s="101">
        <v>2015</v>
      </c>
      <c r="J378" s="102" t="str">
        <f>HYPERLINK("http://www.nemymedved.cz","http://www.nemymedved.cz")</f>
        <v>http://www.nemymedved.cz</v>
      </c>
      <c r="K378" s="102" t="str">
        <f>HYPERLINK("https://www.facebook.com/nemymedved","https://www.facebook.com/nemymedved")</f>
        <v>https://www.facebook.com/nemymedved</v>
      </c>
      <c r="L378" s="96" t="s">
        <v>3288</v>
      </c>
      <c r="M378" s="96"/>
      <c r="N378" s="96" t="s">
        <v>3285</v>
      </c>
      <c r="O378" s="102" t="s">
        <v>3291</v>
      </c>
      <c r="P378" s="96" t="s">
        <v>7847</v>
      </c>
      <c r="Q378" s="96">
        <v>50.361907000000002</v>
      </c>
      <c r="R378" s="96">
        <v>14.491338000000001</v>
      </c>
      <c r="S378" s="100" t="s">
        <v>52</v>
      </c>
      <c r="T378" s="103" t="s">
        <v>71</v>
      </c>
      <c r="U378" s="103" t="s">
        <v>1223</v>
      </c>
      <c r="V378" s="103" t="s">
        <v>1223</v>
      </c>
      <c r="W378" s="103" t="s">
        <v>1223</v>
      </c>
    </row>
    <row r="379" spans="1:23" ht="15.75" customHeight="1">
      <c r="A379" s="96">
        <v>381</v>
      </c>
      <c r="B379" s="97" t="s">
        <v>27</v>
      </c>
      <c r="C379" s="96" t="s">
        <v>3293</v>
      </c>
      <c r="D379" s="96" t="s">
        <v>3294</v>
      </c>
      <c r="E379" s="96" t="s">
        <v>3293</v>
      </c>
      <c r="F379" s="96" t="s">
        <v>3295</v>
      </c>
      <c r="G379" s="99" t="s">
        <v>39</v>
      </c>
      <c r="H379" s="100" t="s">
        <v>69</v>
      </c>
      <c r="I379" s="101">
        <v>2015</v>
      </c>
      <c r="J379" s="102" t="str">
        <f>HYPERLINK("http://www.pivovarzbraslavice.cz","http://www.pivovarzbraslavice.cz")</f>
        <v>http://www.pivovarzbraslavice.cz</v>
      </c>
      <c r="K379" s="102" t="str">
        <f>HYPERLINK("https://www.facebook.com/pivovarzbraslavice","https://www.facebook.com/pivovarzbraslavice")</f>
        <v>https://www.facebook.com/pivovarzbraslavice</v>
      </c>
      <c r="L379" s="96" t="s">
        <v>3296</v>
      </c>
      <c r="M379" s="96"/>
      <c r="N379" s="96" t="s">
        <v>3298</v>
      </c>
      <c r="O379" s="96"/>
      <c r="P379" s="96" t="s">
        <v>7848</v>
      </c>
      <c r="Q379" s="96">
        <v>49.812375000000003</v>
      </c>
      <c r="R379" s="96">
        <v>15.1815339999999</v>
      </c>
      <c r="S379" s="100" t="s">
        <v>7447</v>
      </c>
      <c r="T379" s="103" t="s">
        <v>71</v>
      </c>
      <c r="U379" s="103" t="s">
        <v>331</v>
      </c>
      <c r="V379" s="103" t="s">
        <v>331</v>
      </c>
      <c r="W379" s="103" t="s">
        <v>3293</v>
      </c>
    </row>
    <row r="380" spans="1:23" ht="15.75" customHeight="1">
      <c r="A380" s="96">
        <v>382</v>
      </c>
      <c r="B380" s="97" t="s">
        <v>27</v>
      </c>
      <c r="C380" s="96" t="s">
        <v>3300</v>
      </c>
      <c r="D380" s="96" t="s">
        <v>3301</v>
      </c>
      <c r="E380" s="96" t="s">
        <v>3302</v>
      </c>
      <c r="F380" s="96" t="s">
        <v>3303</v>
      </c>
      <c r="G380" s="99" t="s">
        <v>39</v>
      </c>
      <c r="H380" s="100" t="s">
        <v>40</v>
      </c>
      <c r="I380" s="101">
        <v>2015</v>
      </c>
      <c r="J380" s="102" t="str">
        <f>HYPERLINK("http://www.panskymlynopava.cz","http://www.panskymlynopava.cz")</f>
        <v>http://www.panskymlynopava.cz</v>
      </c>
      <c r="K380" s="102" t="str">
        <f>HYPERLINK("https://www.facebook.com/panskymlyn","https://www.facebook.com/panskymlyn")</f>
        <v>https://www.facebook.com/panskymlyn</v>
      </c>
      <c r="L380" s="96" t="s">
        <v>3305</v>
      </c>
      <c r="M380" s="96"/>
      <c r="N380" s="96" t="s">
        <v>3306</v>
      </c>
      <c r="O380" s="102" t="s">
        <v>3307</v>
      </c>
      <c r="P380" s="96" t="s">
        <v>7849</v>
      </c>
      <c r="Q380" s="96">
        <v>49.907789000000001</v>
      </c>
      <c r="R380" s="96">
        <v>17.911912999999899</v>
      </c>
      <c r="S380" s="100" t="s">
        <v>52</v>
      </c>
      <c r="T380" s="103" t="s">
        <v>121</v>
      </c>
      <c r="U380" s="103" t="s">
        <v>516</v>
      </c>
      <c r="V380" s="103" t="s">
        <v>516</v>
      </c>
      <c r="W380" s="103" t="s">
        <v>516</v>
      </c>
    </row>
    <row r="381" spans="1:23" ht="15.75" customHeight="1">
      <c r="A381" s="96">
        <v>383</v>
      </c>
      <c r="B381" s="97" t="s">
        <v>27</v>
      </c>
      <c r="C381" s="96" t="s">
        <v>3309</v>
      </c>
      <c r="D381" s="96" t="s">
        <v>3310</v>
      </c>
      <c r="E381" s="96" t="s">
        <v>3309</v>
      </c>
      <c r="F381" s="96" t="s">
        <v>3311</v>
      </c>
      <c r="G381" s="99" t="s">
        <v>39</v>
      </c>
      <c r="H381" s="100" t="s">
        <v>89</v>
      </c>
      <c r="I381" s="101" t="s">
        <v>3121</v>
      </c>
      <c r="J381" s="96"/>
      <c r="K381" s="102" t="str">
        <f>HYPERLINK("https://www.facebook.com/Minipivovar-Kel%C4%8D-849156928494901","https://www.facebook.com/Minipivovar-Kel%C4%8D-849156928494901")</f>
        <v>https://www.facebook.com/Minipivovar-Kel%C4%8D-849156928494901</v>
      </c>
      <c r="L381" s="96" t="s">
        <v>3312</v>
      </c>
      <c r="M381" s="96"/>
      <c r="N381" s="96" t="s">
        <v>3314</v>
      </c>
      <c r="O381" s="102" t="s">
        <v>3315</v>
      </c>
      <c r="P381" s="96" t="s">
        <v>7850</v>
      </c>
      <c r="Q381" s="96">
        <v>49.474530999999899</v>
      </c>
      <c r="R381" s="96">
        <v>17.822942999999899</v>
      </c>
      <c r="S381" s="100" t="s">
        <v>52</v>
      </c>
      <c r="T381" s="103" t="s">
        <v>97</v>
      </c>
      <c r="U381" s="103" t="s">
        <v>287</v>
      </c>
      <c r="V381" s="103" t="s">
        <v>288</v>
      </c>
      <c r="W381" s="103" t="s">
        <v>3309</v>
      </c>
    </row>
    <row r="382" spans="1:23" ht="15.75" customHeight="1">
      <c r="A382" s="96">
        <v>384</v>
      </c>
      <c r="B382" s="97" t="s">
        <v>27</v>
      </c>
      <c r="C382" s="96" t="s">
        <v>3317</v>
      </c>
      <c r="D382" s="96" t="s">
        <v>3318</v>
      </c>
      <c r="E382" s="96" t="s">
        <v>419</v>
      </c>
      <c r="F382" s="96" t="s">
        <v>3319</v>
      </c>
      <c r="G382" s="99" t="s">
        <v>39</v>
      </c>
      <c r="H382" s="100" t="s">
        <v>40</v>
      </c>
      <c r="I382" s="101">
        <v>2015</v>
      </c>
      <c r="J382" s="102" t="str">
        <f>HYPERLINK("http://www.pivovarnarodni.cz","http://www.pivovarnarodni.cz")</f>
        <v>http://www.pivovarnarodni.cz</v>
      </c>
      <c r="K382" s="102" t="str">
        <f>HYPERLINK("https://www.facebook.com/pivovarnarodni","https://www.facebook.com/pivovarnarodni")</f>
        <v>https://www.facebook.com/pivovarnarodni</v>
      </c>
      <c r="L382" s="96" t="s">
        <v>3320</v>
      </c>
      <c r="M382" s="96"/>
      <c r="N382" s="96" t="s">
        <v>3322</v>
      </c>
      <c r="O382" s="96"/>
      <c r="P382" s="96" t="s">
        <v>7851</v>
      </c>
      <c r="Q382" s="96">
        <v>50.081283999999897</v>
      </c>
      <c r="R382" s="96">
        <v>14.415201</v>
      </c>
      <c r="S382" s="100" t="s">
        <v>52</v>
      </c>
      <c r="T382" s="103" t="s">
        <v>58</v>
      </c>
      <c r="U382" s="103" t="s">
        <v>58</v>
      </c>
      <c r="V382" s="103" t="s">
        <v>58</v>
      </c>
      <c r="W382" s="103" t="s">
        <v>59</v>
      </c>
    </row>
    <row r="383" spans="1:23" ht="15.75" customHeight="1">
      <c r="A383" s="96">
        <v>385</v>
      </c>
      <c r="B383" s="97" t="s">
        <v>27</v>
      </c>
      <c r="C383" s="96" t="s">
        <v>3324</v>
      </c>
      <c r="D383" s="96" t="s">
        <v>3325</v>
      </c>
      <c r="E383" s="96" t="s">
        <v>3324</v>
      </c>
      <c r="F383" s="96" t="s">
        <v>3326</v>
      </c>
      <c r="G383" s="99" t="s">
        <v>39</v>
      </c>
      <c r="H383" s="100" t="s">
        <v>69</v>
      </c>
      <c r="I383" s="101">
        <v>2015</v>
      </c>
      <c r="J383" s="102" t="str">
        <f>HYPERLINK("http://pivovarjilovice.cz","http://pivovarjilovice.cz")</f>
        <v>http://pivovarjilovice.cz</v>
      </c>
      <c r="K383" s="102" t="str">
        <f>HYPERLINK("https://www.facebook.com/PivovarJilovice","https://www.facebook.com/PivovarJilovice")</f>
        <v>https://www.facebook.com/PivovarJilovice</v>
      </c>
      <c r="L383" s="96" t="s">
        <v>3327</v>
      </c>
      <c r="M383" s="96"/>
      <c r="N383" s="96" t="s">
        <v>3329</v>
      </c>
      <c r="O383" s="96"/>
      <c r="P383" s="96" t="s">
        <v>7852</v>
      </c>
      <c r="Q383" s="96">
        <v>48.883989</v>
      </c>
      <c r="R383" s="96">
        <v>14.731659000000001</v>
      </c>
      <c r="S383" s="100" t="s">
        <v>7447</v>
      </c>
      <c r="T383" s="103" t="s">
        <v>369</v>
      </c>
      <c r="U383" s="103" t="s">
        <v>298</v>
      </c>
      <c r="V383" s="103" t="s">
        <v>2216</v>
      </c>
      <c r="W383" s="103" t="s">
        <v>3324</v>
      </c>
    </row>
    <row r="384" spans="1:23" ht="15.75" customHeight="1">
      <c r="A384" s="96">
        <v>386</v>
      </c>
      <c r="B384" s="97" t="s">
        <v>27</v>
      </c>
      <c r="C384" s="96" t="s">
        <v>3331</v>
      </c>
      <c r="D384" s="96" t="s">
        <v>3332</v>
      </c>
      <c r="E384" s="96" t="s">
        <v>3333</v>
      </c>
      <c r="F384" s="96" t="s">
        <v>3334</v>
      </c>
      <c r="G384" s="99" t="s">
        <v>39</v>
      </c>
      <c r="H384" s="100" t="s">
        <v>40</v>
      </c>
      <c r="I384" s="101">
        <v>2015</v>
      </c>
      <c r="J384" s="96"/>
      <c r="K384" s="102" t="s">
        <v>3335</v>
      </c>
      <c r="L384" s="96" t="s">
        <v>3336</v>
      </c>
      <c r="M384" s="96"/>
      <c r="N384" s="96" t="s">
        <v>3338</v>
      </c>
      <c r="O384" s="96"/>
      <c r="P384" s="96" t="s">
        <v>7853</v>
      </c>
      <c r="Q384" s="96">
        <v>50.649901</v>
      </c>
      <c r="R384" s="96">
        <v>15.967013</v>
      </c>
      <c r="S384" s="100" t="s">
        <v>7447</v>
      </c>
      <c r="T384" s="103" t="s">
        <v>207</v>
      </c>
      <c r="U384" s="103" t="s">
        <v>586</v>
      </c>
      <c r="V384" s="103" t="s">
        <v>586</v>
      </c>
      <c r="W384" s="103" t="s">
        <v>3333</v>
      </c>
    </row>
    <row r="385" spans="1:23" ht="15.75" customHeight="1">
      <c r="A385" s="96">
        <v>387</v>
      </c>
      <c r="B385" s="97" t="s">
        <v>27</v>
      </c>
      <c r="C385" s="96" t="s">
        <v>3340</v>
      </c>
      <c r="D385" s="96" t="s">
        <v>3341</v>
      </c>
      <c r="E385" s="96" t="s">
        <v>2316</v>
      </c>
      <c r="F385" s="96" t="s">
        <v>3342</v>
      </c>
      <c r="G385" s="99" t="s">
        <v>39</v>
      </c>
      <c r="H385" s="100" t="s">
        <v>40</v>
      </c>
      <c r="I385" s="101">
        <v>2015</v>
      </c>
      <c r="J385" s="102" t="str">
        <f>HYPERLINK("http://www.p-h-m.cz","http://www.p-h-m.cz")</f>
        <v>http://www.p-h-m.cz</v>
      </c>
      <c r="K385" s="102" t="str">
        <f>HYPERLINK("https://www.facebook.com/Prvn%C3%AD-hav%C3%AD%C5%99ovsk%C3%BD-minipivovar-627015330768101","https://www.facebook.com/Prvn%C3%AD-hav%C3%AD%C5%99ovsk%C3%BD-minipivovar-627015330768101")</f>
        <v>https://www.facebook.com/Prvn%C3%AD-hav%C3%AD%C5%99ovsk%C3%BD-minipivovar-627015330768101</v>
      </c>
      <c r="L385" s="96" t="s">
        <v>3343</v>
      </c>
      <c r="M385" s="96"/>
      <c r="N385" s="96" t="s">
        <v>3345</v>
      </c>
      <c r="O385" s="102" t="s">
        <v>3346</v>
      </c>
      <c r="P385" s="96" t="s">
        <v>7854</v>
      </c>
      <c r="Q385" s="96">
        <v>49.773792</v>
      </c>
      <c r="R385" s="96">
        <v>18.4334659999999</v>
      </c>
      <c r="S385" s="100" t="s">
        <v>52</v>
      </c>
      <c r="T385" s="103" t="s">
        <v>121</v>
      </c>
      <c r="U385" s="103" t="s">
        <v>132</v>
      </c>
      <c r="V385" s="103" t="s">
        <v>2316</v>
      </c>
      <c r="W385" s="103" t="s">
        <v>2316</v>
      </c>
    </row>
    <row r="386" spans="1:23" ht="15.75" customHeight="1">
      <c r="A386" s="96">
        <v>388</v>
      </c>
      <c r="B386" s="97" t="s">
        <v>27</v>
      </c>
      <c r="C386" s="96" t="s">
        <v>3348</v>
      </c>
      <c r="D386" s="96" t="s">
        <v>3349</v>
      </c>
      <c r="E386" s="96" t="s">
        <v>3350</v>
      </c>
      <c r="F386" s="96" t="s">
        <v>3351</v>
      </c>
      <c r="G386" s="99" t="s">
        <v>39</v>
      </c>
      <c r="H386" s="100" t="s">
        <v>40</v>
      </c>
      <c r="I386" s="101">
        <v>2015</v>
      </c>
      <c r="J386" s="102" t="str">
        <f>HYPERLINK("http://www.olivuvpivovar.cz","http://www.olivuvpivovar.cz")</f>
        <v>http://www.olivuvpivovar.cz</v>
      </c>
      <c r="K386" s="102" t="str">
        <f>HYPERLINK("https://www.facebook.com/Olivuvpivovar","https://www.facebook.com/Olivuvpivovar")</f>
        <v>https://www.facebook.com/Olivuvpivovar</v>
      </c>
      <c r="L386" s="96" t="s">
        <v>3353</v>
      </c>
      <c r="M386" s="96"/>
      <c r="N386" s="96" t="s">
        <v>3355</v>
      </c>
      <c r="O386" s="102" t="s">
        <v>3356</v>
      </c>
      <c r="P386" s="96" t="s">
        <v>7855</v>
      </c>
      <c r="Q386" s="96">
        <v>49.962136999999899</v>
      </c>
      <c r="R386" s="96">
        <v>14.456904</v>
      </c>
      <c r="S386" s="100" t="s">
        <v>52</v>
      </c>
      <c r="T386" s="103" t="s">
        <v>71</v>
      </c>
      <c r="U386" s="103" t="s">
        <v>295</v>
      </c>
      <c r="V386" s="103" t="s">
        <v>296</v>
      </c>
      <c r="W386" s="103" t="s">
        <v>3350</v>
      </c>
    </row>
    <row r="387" spans="1:23" ht="15.75" customHeight="1">
      <c r="A387" s="96">
        <v>389</v>
      </c>
      <c r="B387" s="97" t="s">
        <v>27</v>
      </c>
      <c r="C387" s="96" t="s">
        <v>3358</v>
      </c>
      <c r="D387" s="96" t="s">
        <v>3359</v>
      </c>
      <c r="E387" s="96" t="s">
        <v>3360</v>
      </c>
      <c r="F387" s="96" t="s">
        <v>3361</v>
      </c>
      <c r="G387" s="99" t="s">
        <v>39</v>
      </c>
      <c r="H387" s="100" t="s">
        <v>40</v>
      </c>
      <c r="I387" s="101">
        <v>2015</v>
      </c>
      <c r="J387" s="102" t="str">
        <f>HYPERLINK("http://www.pension-helene.cz","http://www.pension-helene.cz")</f>
        <v>http://www.pension-helene.cz</v>
      </c>
      <c r="K387" s="102" t="str">
        <f>HYPERLINK("https://www.facebook.com/Pension-Helene-298676278905","https://www.facebook.com/Pension-Helene-298676278905")</f>
        <v>https://www.facebook.com/Pension-Helene-298676278905</v>
      </c>
      <c r="L387" s="96" t="s">
        <v>3362</v>
      </c>
      <c r="M387" s="96"/>
      <c r="N387" s="96" t="s">
        <v>3364</v>
      </c>
      <c r="O387" s="102" t="s">
        <v>3365</v>
      </c>
      <c r="P387" s="96" t="s">
        <v>7856</v>
      </c>
      <c r="Q387" s="96">
        <v>50.812663000000001</v>
      </c>
      <c r="R387" s="96">
        <v>14.531888</v>
      </c>
      <c r="S387" s="100" t="s">
        <v>52</v>
      </c>
      <c r="T387" s="103" t="s">
        <v>353</v>
      </c>
      <c r="U387" s="103" t="s">
        <v>843</v>
      </c>
      <c r="V387" s="103" t="s">
        <v>843</v>
      </c>
      <c r="W387" s="103" t="s">
        <v>3360</v>
      </c>
    </row>
    <row r="388" spans="1:23" ht="15.75" customHeight="1">
      <c r="A388" s="96">
        <v>390</v>
      </c>
      <c r="B388" s="97" t="s">
        <v>27</v>
      </c>
      <c r="C388" s="96" t="s">
        <v>3368</v>
      </c>
      <c r="D388" s="96" t="s">
        <v>3369</v>
      </c>
      <c r="E388" s="96" t="s">
        <v>3370</v>
      </c>
      <c r="F388" s="96" t="s">
        <v>3371</v>
      </c>
      <c r="G388" s="99" t="s">
        <v>39</v>
      </c>
      <c r="H388" s="100" t="s">
        <v>69</v>
      </c>
      <c r="I388" s="101">
        <v>2015</v>
      </c>
      <c r="J388" s="102" t="str">
        <f>HYPERLINK("http://www.pivovarmejto.cz","http://www.pivovarmejto.cz")</f>
        <v>http://www.pivovarmejto.cz</v>
      </c>
      <c r="K388" s="102" t="str">
        <f>HYPERLINK("https://www.facebook.com/pivovarmejto","https://www.facebook.com/pivovarmejto")</f>
        <v>https://www.facebook.com/pivovarmejto</v>
      </c>
      <c r="L388" s="96" t="s">
        <v>3372</v>
      </c>
      <c r="M388" s="96" t="s">
        <v>3374</v>
      </c>
      <c r="N388" s="96" t="s">
        <v>3375</v>
      </c>
      <c r="O388" s="96"/>
      <c r="P388" s="96" t="s">
        <v>7857</v>
      </c>
      <c r="Q388" s="96">
        <v>49.949010999999899</v>
      </c>
      <c r="R388" s="96">
        <v>16.1530279999999</v>
      </c>
      <c r="S388" s="100" t="s">
        <v>52</v>
      </c>
      <c r="T388" s="103" t="s">
        <v>483</v>
      </c>
      <c r="U388" s="103" t="s">
        <v>484</v>
      </c>
      <c r="V388" s="103" t="s">
        <v>3370</v>
      </c>
      <c r="W388" s="103" t="s">
        <v>3370</v>
      </c>
    </row>
    <row r="389" spans="1:23" ht="15.75" customHeight="1">
      <c r="A389" s="96">
        <v>391</v>
      </c>
      <c r="B389" s="97" t="s">
        <v>27</v>
      </c>
      <c r="C389" s="96" t="s">
        <v>3377</v>
      </c>
      <c r="D389" s="96" t="s">
        <v>3378</v>
      </c>
      <c r="E389" s="96" t="s">
        <v>3379</v>
      </c>
      <c r="F389" s="96" t="s">
        <v>3380</v>
      </c>
      <c r="G389" s="99" t="s">
        <v>39</v>
      </c>
      <c r="H389" s="100" t="s">
        <v>60</v>
      </c>
      <c r="I389" s="101">
        <v>2015</v>
      </c>
      <c r="J389" s="102" t="str">
        <f>HYPERLINK("http://www.pivovarbylnice.cz","http://www.pivovarbylnice.cz")</f>
        <v>http://www.pivovarbylnice.cz</v>
      </c>
      <c r="K389" s="107" t="s">
        <v>3920</v>
      </c>
      <c r="L389" s="96" t="s">
        <v>3382</v>
      </c>
      <c r="M389" s="96"/>
      <c r="N389" s="96" t="s">
        <v>3384</v>
      </c>
      <c r="O389" s="102" t="s">
        <v>3385</v>
      </c>
      <c r="P389" s="96" t="s">
        <v>7858</v>
      </c>
      <c r="Q389" s="96">
        <v>49.077013000000001</v>
      </c>
      <c r="R389" s="96">
        <v>18.010489</v>
      </c>
      <c r="S389" s="100" t="s">
        <v>52</v>
      </c>
      <c r="T389" s="103" t="s">
        <v>97</v>
      </c>
      <c r="U389" s="103" t="s">
        <v>2156</v>
      </c>
      <c r="V389" s="103" t="s">
        <v>3929</v>
      </c>
      <c r="W389" s="103" t="s">
        <v>3379</v>
      </c>
    </row>
    <row r="390" spans="1:23" ht="15.75" customHeight="1">
      <c r="A390" s="96">
        <v>392</v>
      </c>
      <c r="B390" s="97" t="s">
        <v>27</v>
      </c>
      <c r="C390" s="96" t="s">
        <v>3387</v>
      </c>
      <c r="D390" s="96" t="s">
        <v>3388</v>
      </c>
      <c r="E390" s="96" t="s">
        <v>3387</v>
      </c>
      <c r="F390" s="96" t="s">
        <v>3389</v>
      </c>
      <c r="G390" s="99" t="s">
        <v>39</v>
      </c>
      <c r="H390" s="100" t="s">
        <v>60</v>
      </c>
      <c r="I390" s="101">
        <v>2015</v>
      </c>
      <c r="J390" s="102" t="str">
        <f>HYPERLINK("http://www.lobec.cz","http://www.lobec.cz")</f>
        <v>http://www.lobec.cz</v>
      </c>
      <c r="K390" s="102" t="str">
        <f>HYPERLINK("https://www.facebook.com/PivovarLobec","https://www.facebook.com/PivovarLobec")</f>
        <v>https://www.facebook.com/PivovarLobec</v>
      </c>
      <c r="L390" s="96" t="s">
        <v>3390</v>
      </c>
      <c r="M390" s="96"/>
      <c r="N390" s="96" t="s">
        <v>3387</v>
      </c>
      <c r="O390" s="96"/>
      <c r="P390" s="96" t="s">
        <v>7859</v>
      </c>
      <c r="Q390" s="96">
        <v>50.460971000000001</v>
      </c>
      <c r="R390" s="96">
        <v>14.6667939999999</v>
      </c>
      <c r="S390" s="100" t="s">
        <v>7447</v>
      </c>
      <c r="T390" s="103" t="s">
        <v>71</v>
      </c>
      <c r="U390" s="103" t="s">
        <v>1223</v>
      </c>
      <c r="V390" s="103" t="s">
        <v>1223</v>
      </c>
      <c r="W390" s="103" t="s">
        <v>3387</v>
      </c>
    </row>
    <row r="391" spans="1:23" ht="15.75" customHeight="1">
      <c r="A391" s="96">
        <v>393</v>
      </c>
      <c r="B391" s="97" t="s">
        <v>27</v>
      </c>
      <c r="C391" s="96" t="s">
        <v>3394</v>
      </c>
      <c r="D391" s="96" t="s">
        <v>3395</v>
      </c>
      <c r="E391" s="96" t="s">
        <v>3114</v>
      </c>
      <c r="F391" s="96" t="s">
        <v>3396</v>
      </c>
      <c r="G391" s="99" t="s">
        <v>39</v>
      </c>
      <c r="H391" s="100" t="s">
        <v>60</v>
      </c>
      <c r="I391" s="101">
        <v>2015</v>
      </c>
      <c r="J391" s="102" t="str">
        <f>HYPERLINK("http://ossegg.cz","http://ossegg.cz")</f>
        <v>http://ossegg.cz</v>
      </c>
      <c r="K391" s="102" t="str">
        <f>HYPERLINK("https://www.facebook.com/pivovarossegg15","https://www.facebook.com/pivovarossegg15")</f>
        <v>https://www.facebook.com/pivovarossegg15</v>
      </c>
      <c r="L391" s="96" t="s">
        <v>3397</v>
      </c>
      <c r="M391" s="96"/>
      <c r="N391" s="96" t="s">
        <v>3399</v>
      </c>
      <c r="O391" s="102" t="s">
        <v>3400</v>
      </c>
      <c r="P391" s="96" t="s">
        <v>7860</v>
      </c>
      <c r="Q391" s="96">
        <v>50.621738999999899</v>
      </c>
      <c r="R391" s="96">
        <v>13.695341000000001</v>
      </c>
      <c r="S391" s="100" t="s">
        <v>52</v>
      </c>
      <c r="T391" s="103" t="s">
        <v>353</v>
      </c>
      <c r="U391" s="103" t="s">
        <v>2677</v>
      </c>
      <c r="V391" s="103" t="s">
        <v>2677</v>
      </c>
      <c r="W391" s="103" t="s">
        <v>3114</v>
      </c>
    </row>
    <row r="392" spans="1:23" ht="15.75" customHeight="1">
      <c r="A392" s="96">
        <v>394</v>
      </c>
      <c r="B392" s="97" t="s">
        <v>27</v>
      </c>
      <c r="C392" s="96" t="s">
        <v>3402</v>
      </c>
      <c r="D392" s="96" t="s">
        <v>3403</v>
      </c>
      <c r="E392" s="96" t="s">
        <v>1140</v>
      </c>
      <c r="F392" s="96" t="s">
        <v>3404</v>
      </c>
      <c r="G392" s="99" t="s">
        <v>39</v>
      </c>
      <c r="H392" s="100" t="s">
        <v>69</v>
      </c>
      <c r="I392" s="101">
        <v>2015</v>
      </c>
      <c r="J392" s="102" t="str">
        <f>HYPERLINK("http://www.pivovarulenocha.cz","http://www.pivovarulenocha.cz")</f>
        <v>http://www.pivovarulenocha.cz</v>
      </c>
      <c r="K392" s="96"/>
      <c r="L392" s="96" t="s">
        <v>3405</v>
      </c>
      <c r="M392" s="96"/>
      <c r="N392" s="96" t="s">
        <v>3407</v>
      </c>
      <c r="O392" s="96"/>
      <c r="P392" s="96" t="s">
        <v>7861</v>
      </c>
      <c r="Q392" s="96">
        <v>49.761586000000001</v>
      </c>
      <c r="R392" s="96">
        <v>13.4343749999999</v>
      </c>
      <c r="S392" s="100" t="s">
        <v>7447</v>
      </c>
      <c r="T392" s="103" t="s">
        <v>217</v>
      </c>
      <c r="U392" s="103" t="s">
        <v>1139</v>
      </c>
      <c r="V392" s="103" t="s">
        <v>1140</v>
      </c>
      <c r="W392" s="103" t="s">
        <v>1140</v>
      </c>
    </row>
    <row r="393" spans="1:23" ht="15.75" customHeight="1">
      <c r="A393" s="96">
        <v>395</v>
      </c>
      <c r="B393" s="97" t="s">
        <v>27</v>
      </c>
      <c r="C393" s="96" t="s">
        <v>3409</v>
      </c>
      <c r="D393" s="96" t="s">
        <v>3410</v>
      </c>
      <c r="E393" s="96" t="s">
        <v>2007</v>
      </c>
      <c r="F393" s="96" t="s">
        <v>3411</v>
      </c>
      <c r="G393" s="99" t="s">
        <v>39</v>
      </c>
      <c r="H393" s="100" t="s">
        <v>40</v>
      </c>
      <c r="I393" s="101">
        <v>2015</v>
      </c>
      <c r="J393" s="102" t="str">
        <f>HYPERLINK("http://www.hradnipivovarhustopece.cz","http://www.hradnipivovarhustopece.cz")</f>
        <v>http://www.hradnipivovarhustopece.cz</v>
      </c>
      <c r="K393" s="102" t="str">
        <f>HYPERLINK("https://www.facebook.com/hradnipivovarhustopece","https://www.facebook.com/hradnipivovarhustopece")</f>
        <v>https://www.facebook.com/hradnipivovarhustopece</v>
      </c>
      <c r="L393" s="96" t="s">
        <v>3412</v>
      </c>
      <c r="M393" s="96"/>
      <c r="N393" s="96" t="s">
        <v>3409</v>
      </c>
      <c r="O393" s="96"/>
      <c r="P393" s="96" t="s">
        <v>7862</v>
      </c>
      <c r="Q393" s="96">
        <v>48.935161999999899</v>
      </c>
      <c r="R393" s="96">
        <v>16.732156</v>
      </c>
      <c r="S393" s="100" t="s">
        <v>7447</v>
      </c>
      <c r="T393" s="103" t="s">
        <v>325</v>
      </c>
      <c r="U393" s="103" t="s">
        <v>256</v>
      </c>
      <c r="V393" s="103" t="s">
        <v>2007</v>
      </c>
      <c r="W393" s="103" t="s">
        <v>2007</v>
      </c>
    </row>
    <row r="394" spans="1:23" ht="15.75" customHeight="1">
      <c r="A394" s="96">
        <v>396</v>
      </c>
      <c r="B394" s="97" t="s">
        <v>27</v>
      </c>
      <c r="C394" s="96" t="s">
        <v>3414</v>
      </c>
      <c r="D394" s="96" t="s">
        <v>3415</v>
      </c>
      <c r="E394" s="96" t="s">
        <v>3414</v>
      </c>
      <c r="F394" s="96" t="s">
        <v>3416</v>
      </c>
      <c r="G394" s="99" t="s">
        <v>39</v>
      </c>
      <c r="H394" s="100" t="s">
        <v>40</v>
      </c>
      <c r="I394" s="101">
        <v>2015</v>
      </c>
      <c r="J394" s="102" t="str">
        <f>HYPERLINK("http://www.zamek-ceskyrudolec.cz","http://www.zamek-ceskyrudolec.cz")</f>
        <v>http://www.zamek-ceskyrudolec.cz</v>
      </c>
      <c r="K394" s="102" t="str">
        <f>HYPERLINK("https://www.facebook.com/Pivovar-%C4%8Cesk%C3%BD-Rudolec-115962171786988","https://www.facebook.com/Pivovar-%C4%8Cesk%C3%BD-Rudolec-115962171786988")</f>
        <v>https://www.facebook.com/Pivovar-%C4%8Cesk%C3%BD-Rudolec-115962171786988</v>
      </c>
      <c r="L394" s="96" t="s">
        <v>3417</v>
      </c>
      <c r="M394" s="96"/>
      <c r="N394" s="96" t="s">
        <v>3419</v>
      </c>
      <c r="O394" s="96"/>
      <c r="P394" s="96" t="s">
        <v>7863</v>
      </c>
      <c r="Q394" s="96">
        <v>49.066890000000001</v>
      </c>
      <c r="R394" s="96">
        <v>15.325851</v>
      </c>
      <c r="S394" s="100" t="s">
        <v>7447</v>
      </c>
      <c r="T394" s="103" t="s">
        <v>369</v>
      </c>
      <c r="U394" s="103" t="s">
        <v>1254</v>
      </c>
      <c r="V394" s="103" t="s">
        <v>4049</v>
      </c>
      <c r="W394" s="103" t="s">
        <v>3414</v>
      </c>
    </row>
    <row r="395" spans="1:23" ht="15.75" customHeight="1">
      <c r="A395" s="96">
        <v>397</v>
      </c>
      <c r="B395" s="97" t="s">
        <v>27</v>
      </c>
      <c r="C395" s="96" t="s">
        <v>3422</v>
      </c>
      <c r="D395" s="96" t="s">
        <v>3423</v>
      </c>
      <c r="E395" s="96" t="s">
        <v>950</v>
      </c>
      <c r="F395" s="96" t="s">
        <v>3424</v>
      </c>
      <c r="G395" s="99" t="s">
        <v>39</v>
      </c>
      <c r="H395" s="100" t="s">
        <v>40</v>
      </c>
      <c r="I395" s="101">
        <v>2015</v>
      </c>
      <c r="J395" s="102" t="str">
        <f>HYPERLINK("http://www.galant.cz","http://www.galant.cz")</f>
        <v>http://www.galant.cz</v>
      </c>
      <c r="K395" s="107" t="s">
        <v>4066</v>
      </c>
      <c r="L395" s="96" t="s">
        <v>3425</v>
      </c>
      <c r="M395" s="96"/>
      <c r="N395" s="96" t="s">
        <v>3422</v>
      </c>
      <c r="O395" s="102" t="s">
        <v>3427</v>
      </c>
      <c r="P395" s="96" t="s">
        <v>7864</v>
      </c>
      <c r="Q395" s="96">
        <v>48.807592</v>
      </c>
      <c r="R395" s="96">
        <v>16.640639</v>
      </c>
      <c r="S395" s="100" t="s">
        <v>52</v>
      </c>
      <c r="T395" s="103" t="s">
        <v>325</v>
      </c>
      <c r="U395" s="103" t="s">
        <v>256</v>
      </c>
      <c r="V395" s="103" t="s">
        <v>950</v>
      </c>
      <c r="W395" s="103" t="s">
        <v>950</v>
      </c>
    </row>
    <row r="396" spans="1:23" ht="15.75" customHeight="1">
      <c r="A396" s="96">
        <v>398</v>
      </c>
      <c r="B396" s="97" t="s">
        <v>27</v>
      </c>
      <c r="C396" s="96" t="s">
        <v>3429</v>
      </c>
      <c r="D396" s="96" t="s">
        <v>3430</v>
      </c>
      <c r="E396" s="96" t="s">
        <v>3431</v>
      </c>
      <c r="F396" s="96" t="s">
        <v>3432</v>
      </c>
      <c r="G396" s="99" t="s">
        <v>39</v>
      </c>
      <c r="H396" s="100" t="s">
        <v>69</v>
      </c>
      <c r="I396" s="101">
        <v>2015</v>
      </c>
      <c r="J396" s="102" t="str">
        <f>HYPERLINK("http://www.resortsobotin.cz","http://www.resortsobotin.cz")</f>
        <v>http://www.resortsobotin.cz</v>
      </c>
      <c r="K396" s="102" t="str">
        <f>HYPERLINK("https://www.facebook.com/ResortSobotin","https://www.facebook.com/ResortSobotin")</f>
        <v>https://www.facebook.com/ResortSobotin</v>
      </c>
      <c r="L396" s="96" t="s">
        <v>3433</v>
      </c>
      <c r="M396" s="96"/>
      <c r="N396" s="96" t="s">
        <v>3429</v>
      </c>
      <c r="O396" s="102" t="s">
        <v>3436</v>
      </c>
      <c r="P396" s="96" t="s">
        <v>7865</v>
      </c>
      <c r="Q396" s="96">
        <v>50.018307999999898</v>
      </c>
      <c r="R396" s="96">
        <v>17.080887000000001</v>
      </c>
      <c r="S396" s="100" t="s">
        <v>52</v>
      </c>
      <c r="T396" s="103" t="s">
        <v>312</v>
      </c>
      <c r="U396" s="103" t="s">
        <v>313</v>
      </c>
      <c r="V396" s="103" t="s">
        <v>313</v>
      </c>
      <c r="W396" s="103" t="s">
        <v>3431</v>
      </c>
    </row>
    <row r="397" spans="1:23" ht="15.75" customHeight="1">
      <c r="A397" s="96">
        <v>399</v>
      </c>
      <c r="B397" s="97" t="s">
        <v>27</v>
      </c>
      <c r="C397" s="96" t="s">
        <v>3439</v>
      </c>
      <c r="D397" s="96" t="s">
        <v>3440</v>
      </c>
      <c r="E397" s="96" t="s">
        <v>3439</v>
      </c>
      <c r="F397" s="96" t="s">
        <v>3441</v>
      </c>
      <c r="G397" s="99" t="s">
        <v>39</v>
      </c>
      <c r="H397" s="100" t="s">
        <v>40</v>
      </c>
      <c r="I397" s="101">
        <v>2015</v>
      </c>
      <c r="J397" s="102" t="str">
        <f>HYPERLINK("http://www.prisov.cz","http://www.prisov.cz")</f>
        <v>http://www.prisov.cz</v>
      </c>
      <c r="K397" s="102" t="str">
        <f>HYPERLINK("https://www.facebook.com/Restaurace-a-Minipivovar-P%C5%99%C3%AD%C5%A1ov-1547323172167594","https://www.facebook.com/Restaurace-a-Minipivovar-P%C5%99%C3%AD%C5%A1ov-1547323172167594")</f>
        <v>https://www.facebook.com/Restaurace-a-Minipivovar-P%C5%99%C3%AD%C5%A1ov-1547323172167594</v>
      </c>
      <c r="L397" s="96" t="s">
        <v>3444</v>
      </c>
      <c r="M397" s="96"/>
      <c r="N397" s="96" t="s">
        <v>3446</v>
      </c>
      <c r="O397" s="102" t="s">
        <v>3447</v>
      </c>
      <c r="P397" s="96" t="s">
        <v>7866</v>
      </c>
      <c r="Q397" s="96">
        <v>49.811903999999899</v>
      </c>
      <c r="R397" s="96">
        <v>13.303872</v>
      </c>
      <c r="S397" s="100" t="s">
        <v>52</v>
      </c>
      <c r="T397" s="103" t="s">
        <v>217</v>
      </c>
      <c r="U397" s="103" t="s">
        <v>3768</v>
      </c>
      <c r="V397" s="103" t="s">
        <v>4089</v>
      </c>
      <c r="W397" s="103" t="s">
        <v>3439</v>
      </c>
    </row>
    <row r="398" spans="1:23" ht="15.75" customHeight="1">
      <c r="A398" s="96">
        <v>400</v>
      </c>
      <c r="B398" s="97" t="s">
        <v>27</v>
      </c>
      <c r="C398" s="96" t="s">
        <v>3449</v>
      </c>
      <c r="D398" s="96" t="s">
        <v>3450</v>
      </c>
      <c r="E398" s="96" t="s">
        <v>135</v>
      </c>
      <c r="F398" s="96" t="s">
        <v>3451</v>
      </c>
      <c r="G398" s="99" t="s">
        <v>39</v>
      </c>
      <c r="H398" s="100" t="s">
        <v>60</v>
      </c>
      <c r="I398" s="101">
        <v>2016</v>
      </c>
      <c r="J398" s="102" t="str">
        <f>HYPERLINK("http://pivovarcechovka.cz","http://pivovarcechovka.cz")</f>
        <v>http://pivovarcechovka.cz</v>
      </c>
      <c r="K398" s="102" t="str">
        <f>HYPERLINK("https://www.facebook.com/pivovarcechovka","https://www.facebook.com/pivovarcechovka")</f>
        <v>https://www.facebook.com/pivovarcechovka</v>
      </c>
      <c r="L398" s="96" t="s">
        <v>3452</v>
      </c>
      <c r="M398" s="96"/>
      <c r="N398" s="96" t="s">
        <v>3454</v>
      </c>
      <c r="O398" s="96"/>
      <c r="P398" s="96" t="s">
        <v>7867</v>
      </c>
      <c r="Q398" s="96">
        <v>49.600209399999997</v>
      </c>
      <c r="R398" s="96">
        <v>15.568601900000001</v>
      </c>
      <c r="S398" s="100" t="s">
        <v>7447</v>
      </c>
      <c r="T398" s="103" t="s">
        <v>144</v>
      </c>
      <c r="U398" s="103" t="s">
        <v>135</v>
      </c>
      <c r="V398" s="103" t="s">
        <v>135</v>
      </c>
      <c r="W398" s="103" t="s">
        <v>135</v>
      </c>
    </row>
    <row r="399" spans="1:23" ht="15.75" customHeight="1">
      <c r="A399" s="96">
        <v>401</v>
      </c>
      <c r="B399" s="97" t="s">
        <v>27</v>
      </c>
      <c r="C399" s="96" t="s">
        <v>3457</v>
      </c>
      <c r="D399" s="96" t="s">
        <v>3458</v>
      </c>
      <c r="E399" s="96" t="s">
        <v>3457</v>
      </c>
      <c r="F399" s="96" t="s">
        <v>3459</v>
      </c>
      <c r="G399" s="99" t="s">
        <v>39</v>
      </c>
      <c r="H399" s="100" t="s">
        <v>60</v>
      </c>
      <c r="I399" s="101">
        <v>2017</v>
      </c>
      <c r="J399" s="102" t="str">
        <f>HYPERLINK("http://pivovarkozojedy.cz","http://pivovarkozojedy.cz")</f>
        <v>http://pivovarkozojedy.cz</v>
      </c>
      <c r="K399" s="102" t="str">
        <f>HYPERLINK("https://www.facebook.com/Pivovar-a-hospoda-v-Kozojedech-922815767825624","https://www.facebook.com/Pivovar-a-hospoda-v-Kozojedech-922815767825624")</f>
        <v>https://www.facebook.com/Pivovar-a-hospoda-v-Kozojedech-922815767825624</v>
      </c>
      <c r="L399" s="96" t="s">
        <v>3460</v>
      </c>
      <c r="M399" s="96"/>
      <c r="N399" s="96" t="s">
        <v>3457</v>
      </c>
      <c r="O399" s="102" t="s">
        <v>3462</v>
      </c>
      <c r="P399" s="96" t="s">
        <v>7868</v>
      </c>
      <c r="Q399" s="96">
        <v>49.9334828</v>
      </c>
      <c r="R399" s="96">
        <v>13.5423019</v>
      </c>
      <c r="S399" s="100" t="s">
        <v>52</v>
      </c>
      <c r="T399" s="103" t="s">
        <v>217</v>
      </c>
      <c r="U399" s="103" t="s">
        <v>3768</v>
      </c>
      <c r="V399" s="103" t="s">
        <v>3770</v>
      </c>
      <c r="W399" s="103" t="s">
        <v>3457</v>
      </c>
    </row>
    <row r="400" spans="1:23" ht="15.75" customHeight="1">
      <c r="A400" s="96">
        <v>402</v>
      </c>
      <c r="B400" s="97" t="s">
        <v>27</v>
      </c>
      <c r="C400" s="96" t="s">
        <v>3464</v>
      </c>
      <c r="D400" s="96" t="s">
        <v>3465</v>
      </c>
      <c r="E400" s="96" t="s">
        <v>3466</v>
      </c>
      <c r="F400" s="96" t="s">
        <v>3467</v>
      </c>
      <c r="G400" s="99" t="s">
        <v>39</v>
      </c>
      <c r="H400" s="100" t="s">
        <v>40</v>
      </c>
      <c r="I400" s="101">
        <v>2017</v>
      </c>
      <c r="J400" s="102" t="s">
        <v>3468</v>
      </c>
      <c r="K400" s="102" t="str">
        <f>HYPERLINK("https://www.facebook.com/pivovarhluboka","https://www.facebook.com/pivovarhluboka")</f>
        <v>https://www.facebook.com/pivovarhluboka</v>
      </c>
      <c r="L400" s="96" t="s">
        <v>3470</v>
      </c>
      <c r="M400" s="96"/>
      <c r="N400" s="96" t="s">
        <v>3472</v>
      </c>
      <c r="O400" s="96"/>
      <c r="P400" s="96" t="s">
        <v>7869</v>
      </c>
      <c r="Q400" s="96">
        <v>49.050970300000003</v>
      </c>
      <c r="R400" s="96">
        <v>14.4360392</v>
      </c>
      <c r="S400" s="100" t="s">
        <v>7447</v>
      </c>
      <c r="T400" s="103" t="s">
        <v>369</v>
      </c>
      <c r="U400" s="103" t="s">
        <v>298</v>
      </c>
      <c r="V400" s="103" t="s">
        <v>298</v>
      </c>
      <c r="W400" s="103" t="s">
        <v>3466</v>
      </c>
    </row>
    <row r="401" spans="1:23" ht="15.75" customHeight="1">
      <c r="A401" s="96">
        <v>403</v>
      </c>
      <c r="B401" s="97" t="s">
        <v>27</v>
      </c>
      <c r="C401" s="96" t="s">
        <v>3474</v>
      </c>
      <c r="D401" s="96" t="s">
        <v>3475</v>
      </c>
      <c r="E401" s="96" t="s">
        <v>3476</v>
      </c>
      <c r="F401" s="96" t="s">
        <v>3477</v>
      </c>
      <c r="G401" s="99" t="s">
        <v>39</v>
      </c>
      <c r="H401" s="100" t="s">
        <v>40</v>
      </c>
      <c r="I401" s="101">
        <v>2017</v>
      </c>
      <c r="J401" s="102" t="s">
        <v>3478</v>
      </c>
      <c r="K401" s="102" t="s">
        <v>3479</v>
      </c>
      <c r="L401" s="98" t="s">
        <v>3480</v>
      </c>
      <c r="M401" s="96" t="s">
        <v>3482</v>
      </c>
      <c r="N401" s="96" t="s">
        <v>3483</v>
      </c>
      <c r="O401" s="102" t="s">
        <v>3484</v>
      </c>
      <c r="P401" s="96" t="s">
        <v>7870</v>
      </c>
      <c r="Q401" s="96">
        <v>49.535480800000002</v>
      </c>
      <c r="R401" s="96">
        <v>18.2948156</v>
      </c>
      <c r="S401" s="100" t="s">
        <v>52</v>
      </c>
      <c r="T401" s="103" t="s">
        <v>121</v>
      </c>
      <c r="U401" s="103" t="s">
        <v>259</v>
      </c>
      <c r="V401" s="103" t="s">
        <v>260</v>
      </c>
      <c r="W401" s="103" t="s">
        <v>3476</v>
      </c>
    </row>
    <row r="402" spans="1:23" ht="15.75" customHeight="1">
      <c r="A402" s="96">
        <v>404</v>
      </c>
      <c r="B402" s="97" t="s">
        <v>27</v>
      </c>
      <c r="C402" s="96" t="s">
        <v>3486</v>
      </c>
      <c r="D402" s="96" t="s">
        <v>3487</v>
      </c>
      <c r="E402" s="96" t="s">
        <v>953</v>
      </c>
      <c r="F402" s="96" t="s">
        <v>3488</v>
      </c>
      <c r="G402" s="99" t="s">
        <v>39</v>
      </c>
      <c r="H402" s="100" t="s">
        <v>40</v>
      </c>
      <c r="I402" s="101">
        <v>2017</v>
      </c>
      <c r="J402" s="102" t="str">
        <f>HYPERLINK("http://www.pivovargrado.cz","http://www.pivovargrado.cz")</f>
        <v>http://www.pivovargrado.cz</v>
      </c>
      <c r="K402" s="102" t="str">
        <f>HYPERLINK("https://www.facebook.com/gradotisnov","https://www.facebook.com/gradotisnov")</f>
        <v>https://www.facebook.com/gradotisnov</v>
      </c>
      <c r="L402" s="96" t="s">
        <v>3489</v>
      </c>
      <c r="M402" s="96"/>
      <c r="N402" s="96" t="s">
        <v>3486</v>
      </c>
      <c r="O402" s="102" t="s">
        <v>3491</v>
      </c>
      <c r="P402" s="96" t="s">
        <v>3492</v>
      </c>
      <c r="Q402" s="96">
        <v>49.341231100000002</v>
      </c>
      <c r="R402" s="96">
        <v>16.420173299999998</v>
      </c>
      <c r="S402" s="100" t="s">
        <v>52</v>
      </c>
      <c r="T402" s="103" t="s">
        <v>325</v>
      </c>
      <c r="U402" s="103" t="s">
        <v>952</v>
      </c>
      <c r="V402" s="103" t="s">
        <v>953</v>
      </c>
      <c r="W402" s="103" t="s">
        <v>953</v>
      </c>
    </row>
    <row r="403" spans="1:23" ht="15.75" customHeight="1">
      <c r="A403" s="96">
        <v>405</v>
      </c>
      <c r="B403" s="97" t="s">
        <v>27</v>
      </c>
      <c r="C403" s="96" t="s">
        <v>3493</v>
      </c>
      <c r="D403" s="96" t="s">
        <v>3494</v>
      </c>
      <c r="E403" s="96" t="s">
        <v>3495</v>
      </c>
      <c r="F403" s="96" t="s">
        <v>3496</v>
      </c>
      <c r="G403" s="99" t="s">
        <v>39</v>
      </c>
      <c r="H403" s="100" t="s">
        <v>69</v>
      </c>
      <c r="I403" s="101">
        <v>2016</v>
      </c>
      <c r="J403" s="96"/>
      <c r="K403" s="102" t="s">
        <v>3497</v>
      </c>
      <c r="L403" s="96" t="s">
        <v>3498</v>
      </c>
      <c r="M403" s="96"/>
      <c r="N403" s="96" t="s">
        <v>3500</v>
      </c>
      <c r="O403" s="96"/>
      <c r="P403" s="96" t="s">
        <v>7871</v>
      </c>
      <c r="Q403" s="96">
        <v>49.296581400000001</v>
      </c>
      <c r="R403" s="96">
        <v>14.622842199999999</v>
      </c>
      <c r="S403" s="100" t="s">
        <v>7447</v>
      </c>
      <c r="T403" s="103" t="s">
        <v>369</v>
      </c>
      <c r="U403" s="103" t="s">
        <v>674</v>
      </c>
      <c r="V403" s="103" t="s">
        <v>4090</v>
      </c>
      <c r="W403" s="103" t="s">
        <v>3495</v>
      </c>
    </row>
    <row r="404" spans="1:23" ht="15.75" customHeight="1">
      <c r="A404" s="96">
        <v>406</v>
      </c>
      <c r="B404" s="97" t="s">
        <v>27</v>
      </c>
      <c r="C404" s="96" t="s">
        <v>3502</v>
      </c>
      <c r="D404" s="96" t="s">
        <v>3503</v>
      </c>
      <c r="E404" s="96" t="s">
        <v>3502</v>
      </c>
      <c r="F404" s="96" t="s">
        <v>3504</v>
      </c>
      <c r="G404" s="99" t="s">
        <v>39</v>
      </c>
      <c r="H404" s="100" t="s">
        <v>40</v>
      </c>
      <c r="I404" s="101">
        <v>2017</v>
      </c>
      <c r="J404" s="102" t="str">
        <f>HYPERLINK("http://www.pivovarkytin.cz","http://www.pivovarkytin.cz")</f>
        <v>http://www.pivovarkytin.cz</v>
      </c>
      <c r="K404" s="102" t="str">
        <f>HYPERLINK("https://www.facebook.com/PivovarKytin","https://www.facebook.com/PivovarKytin")</f>
        <v>https://www.facebook.com/PivovarKytin</v>
      </c>
      <c r="L404" s="96" t="s">
        <v>3505</v>
      </c>
      <c r="M404" s="96"/>
      <c r="N404" s="96" t="s">
        <v>3507</v>
      </c>
      <c r="O404" s="96"/>
      <c r="P404" s="96" t="s">
        <v>7872</v>
      </c>
      <c r="Q404" s="96">
        <v>49.850796899999999</v>
      </c>
      <c r="R404" s="96">
        <v>14.219290300000001</v>
      </c>
      <c r="S404" s="100" t="s">
        <v>7447</v>
      </c>
      <c r="T404" s="103" t="s">
        <v>71</v>
      </c>
      <c r="U404" s="103" t="s">
        <v>295</v>
      </c>
      <c r="V404" s="103" t="s">
        <v>296</v>
      </c>
      <c r="W404" s="103" t="s">
        <v>3502</v>
      </c>
    </row>
    <row r="405" spans="1:23" ht="15.75" customHeight="1">
      <c r="A405" s="96">
        <v>407</v>
      </c>
      <c r="B405" s="97" t="s">
        <v>27</v>
      </c>
      <c r="C405" s="96" t="s">
        <v>3509</v>
      </c>
      <c r="D405" s="96" t="s">
        <v>3510</v>
      </c>
      <c r="E405" s="96" t="s">
        <v>711</v>
      </c>
      <c r="F405" s="96" t="s">
        <v>3511</v>
      </c>
      <c r="G405" s="99" t="s">
        <v>39</v>
      </c>
      <c r="H405" s="100" t="s">
        <v>40</v>
      </c>
      <c r="I405" s="101">
        <v>2017</v>
      </c>
      <c r="J405" s="102" t="str">
        <f>HYPERLINK("http://www.pivolod.cz","http://www.pivolod.cz")</f>
        <v>http://www.pivolod.cz</v>
      </c>
      <c r="K405" s="102" t="str">
        <f>HYPERLINK("https://www.facebook.com/Lo%C4%8F-Pivovar-1333568129987327","https://www.facebook.com/Lo%C4%8F-Pivovar-1333568129987327")</f>
        <v>https://www.facebook.com/Lo%C4%8F-Pivovar-1333568129987327</v>
      </c>
      <c r="L405" s="96" t="s">
        <v>3512</v>
      </c>
      <c r="M405" s="96"/>
      <c r="N405" s="96" t="s">
        <v>3514</v>
      </c>
      <c r="O405" s="102" t="s">
        <v>3515</v>
      </c>
      <c r="P405" s="96" t="s">
        <v>7873</v>
      </c>
      <c r="Q405" s="96">
        <v>50.093464699999998</v>
      </c>
      <c r="R405" s="96">
        <v>14.4263517</v>
      </c>
      <c r="S405" s="100" t="s">
        <v>52</v>
      </c>
      <c r="T405" s="103" t="s">
        <v>58</v>
      </c>
      <c r="U405" s="103" t="s">
        <v>58</v>
      </c>
      <c r="V405" s="103" t="s">
        <v>58</v>
      </c>
      <c r="W405" s="103" t="s">
        <v>59</v>
      </c>
    </row>
    <row r="406" spans="1:23" ht="15.75" customHeight="1">
      <c r="A406" s="96">
        <v>408</v>
      </c>
      <c r="B406" s="97" t="s">
        <v>27</v>
      </c>
      <c r="C406" s="96" t="s">
        <v>3517</v>
      </c>
      <c r="D406" s="96" t="s">
        <v>3518</v>
      </c>
      <c r="E406" s="96" t="s">
        <v>3517</v>
      </c>
      <c r="F406" s="96" t="s">
        <v>3519</v>
      </c>
      <c r="G406" s="99" t="s">
        <v>39</v>
      </c>
      <c r="H406" s="100" t="s">
        <v>60</v>
      </c>
      <c r="I406" s="101">
        <v>2017</v>
      </c>
      <c r="J406" s="102" t="str">
        <f>HYPERLINK("http://www.pivovarmalesov.cz","http://www.pivovarmalesov.cz")</f>
        <v>http://www.pivovarmalesov.cz</v>
      </c>
      <c r="K406" s="102" t="str">
        <f>HYPERLINK("https://www.facebook.com/pivovarmalesov","https://www.facebook.com/pivovarmalesov")</f>
        <v>https://www.facebook.com/pivovarmalesov</v>
      </c>
      <c r="L406" s="96" t="s">
        <v>3521</v>
      </c>
      <c r="M406" s="96"/>
      <c r="N406" s="96" t="s">
        <v>3517</v>
      </c>
      <c r="O406" s="107" t="s">
        <v>4091</v>
      </c>
      <c r="P406" s="96" t="s">
        <v>7874</v>
      </c>
      <c r="Q406" s="96">
        <v>49.911437800000002</v>
      </c>
      <c r="R406" s="96">
        <v>15.221943100000001</v>
      </c>
      <c r="S406" s="100" t="s">
        <v>52</v>
      </c>
      <c r="T406" s="103" t="s">
        <v>71</v>
      </c>
      <c r="U406" s="103" t="s">
        <v>331</v>
      </c>
      <c r="V406" s="103" t="s">
        <v>331</v>
      </c>
      <c r="W406" s="103" t="s">
        <v>3517</v>
      </c>
    </row>
    <row r="407" spans="1:23" ht="15.75" customHeight="1">
      <c r="A407" s="96">
        <v>409</v>
      </c>
      <c r="B407" s="97" t="s">
        <v>27</v>
      </c>
      <c r="C407" s="96" t="s">
        <v>3524</v>
      </c>
      <c r="D407" s="96" t="s">
        <v>3525</v>
      </c>
      <c r="E407" s="96" t="s">
        <v>3526</v>
      </c>
      <c r="F407" s="96" t="s">
        <v>3527</v>
      </c>
      <c r="G407" s="99" t="s">
        <v>39</v>
      </c>
      <c r="H407" s="100" t="s">
        <v>69</v>
      </c>
      <c r="I407" s="101">
        <v>2017</v>
      </c>
      <c r="J407" s="102" t="str">
        <f>HYPERLINK("http://jarosovskypivovar.cz","http://jarosovskypivovar.cz")</f>
        <v>http://jarosovskypivovar.cz</v>
      </c>
      <c r="K407" s="102" t="str">
        <f>HYPERLINK("https://www.facebook.com/jarosovskypivovar","https://www.facebook.com/jarosovskypivovar")</f>
        <v>https://www.facebook.com/jarosovskypivovar</v>
      </c>
      <c r="L407" s="96" t="s">
        <v>3528</v>
      </c>
      <c r="M407" s="96"/>
      <c r="N407" s="96" t="s">
        <v>3530</v>
      </c>
      <c r="O407" s="96"/>
      <c r="P407" s="96" t="s">
        <v>7875</v>
      </c>
      <c r="Q407" s="96">
        <v>49.0826481</v>
      </c>
      <c r="R407" s="96">
        <v>17.490493900000001</v>
      </c>
      <c r="S407" s="100" t="s">
        <v>7447</v>
      </c>
      <c r="T407" s="103" t="s">
        <v>97</v>
      </c>
      <c r="U407" s="103" t="s">
        <v>98</v>
      </c>
      <c r="V407" s="103" t="s">
        <v>98</v>
      </c>
      <c r="W407" s="103" t="s">
        <v>98</v>
      </c>
    </row>
    <row r="408" spans="1:23" ht="15.75" customHeight="1">
      <c r="A408" s="96">
        <v>410</v>
      </c>
      <c r="B408" s="97" t="s">
        <v>27</v>
      </c>
      <c r="C408" s="96" t="s">
        <v>3532</v>
      </c>
      <c r="D408" s="96" t="s">
        <v>3533</v>
      </c>
      <c r="E408" s="96" t="s">
        <v>3534</v>
      </c>
      <c r="F408" s="96" t="s">
        <v>3535</v>
      </c>
      <c r="G408" s="99" t="s">
        <v>39</v>
      </c>
      <c r="H408" s="100" t="s">
        <v>69</v>
      </c>
      <c r="I408" s="101">
        <v>2017</v>
      </c>
      <c r="J408" s="96"/>
      <c r="K408" s="102" t="str">
        <f>HYPERLINK("https://www.facebook.com/pivovarusenkyru","https://www.facebook.com/pivovarusenkyru")</f>
        <v>https://www.facebook.com/pivovarusenkyru</v>
      </c>
      <c r="L408" s="96" t="s">
        <v>3536</v>
      </c>
      <c r="M408" s="96"/>
      <c r="N408" s="96" t="s">
        <v>3538</v>
      </c>
      <c r="O408" s="96"/>
      <c r="P408" s="96" t="s">
        <v>7876</v>
      </c>
      <c r="Q408" s="108">
        <v>49.659638600000001</v>
      </c>
      <c r="R408" s="108">
        <v>13.5262092</v>
      </c>
      <c r="S408" s="100" t="s">
        <v>7447</v>
      </c>
      <c r="T408" s="103" t="s">
        <v>217</v>
      </c>
      <c r="U408" s="103" t="s">
        <v>1139</v>
      </c>
      <c r="V408" s="103" t="s">
        <v>1140</v>
      </c>
      <c r="W408" s="103" t="s">
        <v>1371</v>
      </c>
    </row>
    <row r="409" spans="1:23" ht="15.75" customHeight="1">
      <c r="A409" s="96">
        <v>411</v>
      </c>
      <c r="B409" s="97" t="s">
        <v>27</v>
      </c>
      <c r="C409" s="96" t="s">
        <v>3540</v>
      </c>
      <c r="D409" s="96" t="s">
        <v>3541</v>
      </c>
      <c r="E409" s="96" t="s">
        <v>3542</v>
      </c>
      <c r="F409" s="96" t="s">
        <v>3543</v>
      </c>
      <c r="G409" s="99" t="s">
        <v>39</v>
      </c>
      <c r="H409" s="100" t="s">
        <v>69</v>
      </c>
      <c r="I409" s="101">
        <v>2017</v>
      </c>
      <c r="J409" s="102" t="str">
        <f>HYPERLINK("http://www.pivomasa.cz","http://www.pivomasa.cz")</f>
        <v>http://www.pivomasa.cz</v>
      </c>
      <c r="K409" s="102" t="str">
        <f>HYPERLINK("https://www.facebook.com/pivovarmasa.cz","https://www.facebook.com/pivovarmasa.cz")</f>
        <v>https://www.facebook.com/pivovarmasa.cz</v>
      </c>
      <c r="L409" s="96" t="s">
        <v>3544</v>
      </c>
      <c r="M409" s="96"/>
      <c r="N409" s="96" t="s">
        <v>3545</v>
      </c>
      <c r="O409" s="96"/>
      <c r="P409" s="96" t="s">
        <v>7877</v>
      </c>
      <c r="Q409" s="108">
        <v>50.1817694</v>
      </c>
      <c r="R409" s="108">
        <v>13.810297500000001</v>
      </c>
      <c r="S409" s="100" t="s">
        <v>7447</v>
      </c>
      <c r="T409" s="103" t="s">
        <v>71</v>
      </c>
      <c r="U409" s="103" t="s">
        <v>76</v>
      </c>
      <c r="V409" s="103" t="s">
        <v>76</v>
      </c>
      <c r="W409" s="103" t="s">
        <v>3542</v>
      </c>
    </row>
    <row r="410" spans="1:23" ht="15.75" customHeight="1">
      <c r="A410" s="96">
        <v>412</v>
      </c>
      <c r="B410" s="97" t="s">
        <v>27</v>
      </c>
      <c r="C410" s="96" t="s">
        <v>3547</v>
      </c>
      <c r="D410" s="96" t="s">
        <v>3548</v>
      </c>
      <c r="E410" s="96" t="s">
        <v>819</v>
      </c>
      <c r="F410" s="96" t="s">
        <v>3549</v>
      </c>
      <c r="G410" s="99" t="s">
        <v>39</v>
      </c>
      <c r="H410" s="100" t="s">
        <v>69</v>
      </c>
      <c r="I410" s="101">
        <v>2017</v>
      </c>
      <c r="J410" s="102" t="str">
        <f>HYPERLINK("http://www.krikloun.cz","http://www.krikloun.cz")</f>
        <v>http://www.krikloun.cz</v>
      </c>
      <c r="K410" s="102" t="str">
        <f>HYPERLINK("https://www.facebook.com/krikloun","https://www.facebook.com/krikloun")</f>
        <v>https://www.facebook.com/krikloun</v>
      </c>
      <c r="L410" s="96" t="s">
        <v>3550</v>
      </c>
      <c r="M410" s="96"/>
      <c r="N410" s="96" t="s">
        <v>3547</v>
      </c>
      <c r="O410" s="102" t="s">
        <v>3551</v>
      </c>
      <c r="P410" s="96" t="s">
        <v>7878</v>
      </c>
      <c r="Q410" s="96">
        <v>48.850562199999999</v>
      </c>
      <c r="R410" s="96">
        <v>17.117488600000001</v>
      </c>
      <c r="S410" s="100" t="s">
        <v>52</v>
      </c>
      <c r="T410" s="103" t="s">
        <v>325</v>
      </c>
      <c r="U410" s="103" t="s">
        <v>819</v>
      </c>
      <c r="V410" s="103" t="s">
        <v>819</v>
      </c>
      <c r="W410" s="103" t="s">
        <v>819</v>
      </c>
    </row>
    <row r="411" spans="1:23" ht="15.75" customHeight="1">
      <c r="A411" s="96">
        <v>413</v>
      </c>
      <c r="B411" s="97" t="s">
        <v>27</v>
      </c>
      <c r="C411" s="96" t="s">
        <v>3553</v>
      </c>
      <c r="D411" s="96" t="s">
        <v>3554</v>
      </c>
      <c r="E411" s="96" t="s">
        <v>3555</v>
      </c>
      <c r="F411" s="96" t="s">
        <v>3556</v>
      </c>
      <c r="G411" s="99" t="s">
        <v>39</v>
      </c>
      <c r="H411" s="100" t="s">
        <v>40</v>
      </c>
      <c r="I411" s="101">
        <v>2017</v>
      </c>
      <c r="J411" s="102" t="str">
        <f>HYPERLINK("http://www.penzionjirsak.cz","http://www.penzionjirsak.cz")</f>
        <v>http://www.penzionjirsak.cz</v>
      </c>
      <c r="K411" s="102" t="str">
        <f>HYPERLINK("https://www.facebook.com/penzionjirsak","https://www.facebook.com/penzionjirsak")</f>
        <v>https://www.facebook.com/penzionjirsak</v>
      </c>
      <c r="L411" s="96" t="s">
        <v>3557</v>
      </c>
      <c r="M411" s="96"/>
      <c r="N411" s="96" t="s">
        <v>3558</v>
      </c>
      <c r="O411" s="102" t="s">
        <v>3559</v>
      </c>
      <c r="P411" s="96" t="s">
        <v>7879</v>
      </c>
      <c r="Q411" s="96">
        <v>49.967444999999998</v>
      </c>
      <c r="R411" s="96">
        <v>17.001852499999998</v>
      </c>
      <c r="S411" s="100" t="s">
        <v>52</v>
      </c>
      <c r="T411" s="103" t="s">
        <v>312</v>
      </c>
      <c r="U411" s="103" t="s">
        <v>313</v>
      </c>
      <c r="V411" s="103" t="s">
        <v>313</v>
      </c>
      <c r="W411" s="103" t="s">
        <v>3555</v>
      </c>
    </row>
    <row r="412" spans="1:23" ht="15.75" customHeight="1">
      <c r="A412" s="96">
        <v>414</v>
      </c>
      <c r="B412" s="97" t="s">
        <v>27</v>
      </c>
      <c r="C412" s="96" t="s">
        <v>3561</v>
      </c>
      <c r="D412" s="96" t="s">
        <v>3562</v>
      </c>
      <c r="E412" s="96" t="s">
        <v>3561</v>
      </c>
      <c r="F412" s="96" t="s">
        <v>3563</v>
      </c>
      <c r="G412" s="99" t="s">
        <v>39</v>
      </c>
      <c r="H412" s="100" t="s">
        <v>40</v>
      </c>
      <c r="I412" s="101">
        <v>2017</v>
      </c>
      <c r="J412" s="102" t="str">
        <f>HYPERLINK("http://pivovardasice.cz","http://pivovardasice.cz")</f>
        <v>http://pivovardasice.cz</v>
      </c>
      <c r="K412" s="102" t="str">
        <f>HYPERLINK("https://www.facebook.com/pivovar.dasice","https://www.facebook.com/pivovar.dasice")</f>
        <v>https://www.facebook.com/pivovar.dasice</v>
      </c>
      <c r="L412" s="96" t="s">
        <v>3564</v>
      </c>
      <c r="M412" s="96"/>
      <c r="N412" s="96" t="s">
        <v>3565</v>
      </c>
      <c r="O412" s="102" t="s">
        <v>3567</v>
      </c>
      <c r="P412" s="96" t="s">
        <v>7880</v>
      </c>
      <c r="Q412" s="96">
        <v>50.028788900000002</v>
      </c>
      <c r="R412" s="96">
        <v>15.9152433</v>
      </c>
      <c r="S412" s="100" t="s">
        <v>52</v>
      </c>
      <c r="T412" s="103" t="s">
        <v>483</v>
      </c>
      <c r="U412" s="103" t="s">
        <v>1198</v>
      </c>
      <c r="V412" s="103" t="s">
        <v>1198</v>
      </c>
      <c r="W412" s="103" t="s">
        <v>3561</v>
      </c>
    </row>
    <row r="413" spans="1:23" ht="15.75" customHeight="1">
      <c r="A413" s="96">
        <v>415</v>
      </c>
      <c r="B413" s="97" t="s">
        <v>27</v>
      </c>
      <c r="C413" s="96" t="s">
        <v>3569</v>
      </c>
      <c r="D413" s="96" t="s">
        <v>3570</v>
      </c>
      <c r="E413" s="96" t="s">
        <v>3224</v>
      </c>
      <c r="F413" s="96" t="s">
        <v>3571</v>
      </c>
      <c r="G413" s="99" t="s">
        <v>39</v>
      </c>
      <c r="H413" s="100" t="s">
        <v>40</v>
      </c>
      <c r="I413" s="101">
        <v>2017</v>
      </c>
      <c r="J413" s="102" t="str">
        <f>HYPERLINK("http://restauracevpivovare.cz","http://restauracevpivovare.cz")</f>
        <v>http://restauracevpivovare.cz</v>
      </c>
      <c r="K413" s="102" t="str">
        <f>HYPERLINK("https://www.facebook.com/Poděbradský-Pivovar-230720060721046","https://www.facebook.com/Poděbradský-Pivovar-230720060721046")</f>
        <v>https://www.facebook.com/Poděbradský-Pivovar-230720060721046</v>
      </c>
      <c r="L413" s="96" t="s">
        <v>3572</v>
      </c>
      <c r="M413" s="96"/>
      <c r="N413" s="96" t="s">
        <v>3573</v>
      </c>
      <c r="O413" s="102" t="s">
        <v>3575</v>
      </c>
      <c r="P413" s="96" t="s">
        <v>7881</v>
      </c>
      <c r="Q413" s="96">
        <v>50.142776699999999</v>
      </c>
      <c r="R413" s="96">
        <v>15.116098300000001</v>
      </c>
      <c r="S413" s="100" t="s">
        <v>52</v>
      </c>
      <c r="T413" s="103" t="s">
        <v>71</v>
      </c>
      <c r="U413" s="103" t="s">
        <v>882</v>
      </c>
      <c r="V413" s="103" t="s">
        <v>3224</v>
      </c>
      <c r="W413" s="103" t="s">
        <v>3224</v>
      </c>
    </row>
    <row r="414" spans="1:23" ht="15.75" customHeight="1">
      <c r="A414" s="96">
        <v>416</v>
      </c>
      <c r="B414" s="97" t="s">
        <v>27</v>
      </c>
      <c r="C414" s="96" t="s">
        <v>2020</v>
      </c>
      <c r="D414" s="96" t="s">
        <v>3577</v>
      </c>
      <c r="E414" s="96" t="s">
        <v>2020</v>
      </c>
      <c r="F414" s="96" t="s">
        <v>3578</v>
      </c>
      <c r="G414" s="99" t="s">
        <v>39</v>
      </c>
      <c r="H414" s="100" t="s">
        <v>40</v>
      </c>
      <c r="I414" s="101">
        <v>2017</v>
      </c>
      <c r="J414" s="102" t="str">
        <f>HYPERLINK("http://www.pivovar-kamenice.cz","http://www.pivovar-kamenice.cz")</f>
        <v>http://www.pivovar-kamenice.cz</v>
      </c>
      <c r="K414" s="102" t="str">
        <f>HYPERLINK("https://www.facebook.com/PivovarKamenice","https://www.facebook.com/PivovarKamenice")</f>
        <v>https://www.facebook.com/PivovarKamenice</v>
      </c>
      <c r="L414" s="100" t="s">
        <v>3579</v>
      </c>
      <c r="M414" s="96"/>
      <c r="N414" s="96" t="s">
        <v>3581</v>
      </c>
      <c r="O414" s="96"/>
      <c r="P414" s="96" t="s">
        <v>7882</v>
      </c>
      <c r="Q414" s="108">
        <v>49.301842200000003</v>
      </c>
      <c r="R414" s="108">
        <v>15.0783992</v>
      </c>
      <c r="S414" s="100" t="s">
        <v>7447</v>
      </c>
      <c r="T414" s="103" t="s">
        <v>144</v>
      </c>
      <c r="U414" s="103" t="s">
        <v>227</v>
      </c>
      <c r="V414" s="103" t="s">
        <v>227</v>
      </c>
      <c r="W414" s="103" t="s">
        <v>2020</v>
      </c>
    </row>
    <row r="415" spans="1:23" ht="15.75" customHeight="1">
      <c r="A415" s="96">
        <v>417</v>
      </c>
      <c r="B415" s="97" t="s">
        <v>27</v>
      </c>
      <c r="C415" s="96" t="s">
        <v>3583</v>
      </c>
      <c r="D415" s="96" t="s">
        <v>3584</v>
      </c>
      <c r="E415" s="96" t="s">
        <v>3585</v>
      </c>
      <c r="F415" s="96" t="s">
        <v>3586</v>
      </c>
      <c r="G415" s="99" t="s">
        <v>39</v>
      </c>
      <c r="H415" s="100" t="s">
        <v>60</v>
      </c>
      <c r="I415" s="101">
        <v>2017</v>
      </c>
      <c r="J415" s="102" t="s">
        <v>3587</v>
      </c>
      <c r="K415" s="96"/>
      <c r="L415" s="96" t="s">
        <v>3588</v>
      </c>
      <c r="M415" s="96"/>
      <c r="N415" s="96" t="s">
        <v>3590</v>
      </c>
      <c r="O415" s="96"/>
      <c r="P415" s="96" t="s">
        <v>7883</v>
      </c>
      <c r="Q415" s="108">
        <v>50.478999700000003</v>
      </c>
      <c r="R415" s="108">
        <v>14.1455442</v>
      </c>
      <c r="S415" s="100" t="s">
        <v>7447</v>
      </c>
      <c r="T415" s="103" t="s">
        <v>353</v>
      </c>
      <c r="U415" s="103" t="s">
        <v>767</v>
      </c>
      <c r="V415" s="103" t="s">
        <v>767</v>
      </c>
      <c r="W415" s="103" t="s">
        <v>3585</v>
      </c>
    </row>
    <row r="416" spans="1:23" ht="15.75" customHeight="1">
      <c r="A416" s="96">
        <v>418</v>
      </c>
      <c r="B416" s="97" t="s">
        <v>27</v>
      </c>
      <c r="C416" s="96" t="s">
        <v>3592</v>
      </c>
      <c r="D416" s="96" t="s">
        <v>3592</v>
      </c>
      <c r="E416" s="96" t="s">
        <v>1018</v>
      </c>
      <c r="F416" s="96" t="s">
        <v>3593</v>
      </c>
      <c r="G416" s="99" t="s">
        <v>39</v>
      </c>
      <c r="H416" s="100" t="s">
        <v>69</v>
      </c>
      <c r="I416" s="101">
        <v>2017</v>
      </c>
      <c r="J416" s="96"/>
      <c r="K416" s="102" t="str">
        <f>HYPERLINK("https://www.facebook.com/JBMBrewLabPub","https://www.facebook.com/JBMBrewLabPub")</f>
        <v>https://www.facebook.com/JBMBrewLabPub</v>
      </c>
      <c r="L416" s="96" t="s">
        <v>3594</v>
      </c>
      <c r="M416" s="96"/>
      <c r="N416" s="96" t="s">
        <v>3595</v>
      </c>
      <c r="O416" s="96"/>
      <c r="P416" s="96" t="s">
        <v>7884</v>
      </c>
      <c r="Q416" s="108">
        <v>49.211869700000001</v>
      </c>
      <c r="R416" s="108">
        <v>16.600333599999999</v>
      </c>
      <c r="S416" s="100" t="s">
        <v>7447</v>
      </c>
      <c r="T416" s="103" t="s">
        <v>325</v>
      </c>
      <c r="U416" s="103" t="s">
        <v>1017</v>
      </c>
      <c r="V416" s="103" t="s">
        <v>1018</v>
      </c>
      <c r="W416" s="103" t="s">
        <v>1018</v>
      </c>
    </row>
    <row r="417" spans="1:23" ht="15.75" customHeight="1">
      <c r="A417" s="96">
        <v>419</v>
      </c>
      <c r="B417" s="97" t="s">
        <v>27</v>
      </c>
      <c r="C417" s="96" t="s">
        <v>3597</v>
      </c>
      <c r="D417" s="96" t="s">
        <v>3598</v>
      </c>
      <c r="E417" s="96" t="s">
        <v>3599</v>
      </c>
      <c r="F417" s="96" t="s">
        <v>3600</v>
      </c>
      <c r="G417" s="99" t="s">
        <v>39</v>
      </c>
      <c r="H417" s="100" t="s">
        <v>60</v>
      </c>
      <c r="I417" s="101">
        <v>2017</v>
      </c>
      <c r="J417" s="102" t="str">
        <f>HYPERLINK("http://www.bukovar.cz","http://www.bukovar.cz")</f>
        <v>http://www.bukovar.cz</v>
      </c>
      <c r="K417" s="102" t="str">
        <f>HYPERLINK("https://www.facebook.com/bukovar","https://www.facebook.com/bukovar")</f>
        <v>https://www.facebook.com/bukovar</v>
      </c>
      <c r="L417" s="96" t="s">
        <v>3601</v>
      </c>
      <c r="M417" s="96"/>
      <c r="N417" s="96" t="s">
        <v>3602</v>
      </c>
      <c r="O417" s="96"/>
      <c r="P417" s="96" t="s">
        <v>7885</v>
      </c>
      <c r="Q417" s="108">
        <v>49.172128600000001</v>
      </c>
      <c r="R417" s="108">
        <v>14.5809842</v>
      </c>
      <c r="S417" s="100" t="s">
        <v>7447</v>
      </c>
      <c r="T417" s="103" t="s">
        <v>369</v>
      </c>
      <c r="U417" s="103" t="s">
        <v>298</v>
      </c>
      <c r="V417" s="103" t="s">
        <v>1008</v>
      </c>
      <c r="W417" s="103" t="s">
        <v>3599</v>
      </c>
    </row>
    <row r="418" spans="1:23" ht="15.75" customHeight="1">
      <c r="A418" s="96">
        <v>420</v>
      </c>
      <c r="B418" s="97" t="s">
        <v>27</v>
      </c>
      <c r="C418" s="96" t="s">
        <v>3604</v>
      </c>
      <c r="D418" s="96" t="s">
        <v>3605</v>
      </c>
      <c r="E418" s="96" t="s">
        <v>3604</v>
      </c>
      <c r="F418" s="96" t="s">
        <v>3606</v>
      </c>
      <c r="G418" s="99" t="s">
        <v>39</v>
      </c>
      <c r="H418" s="100" t="s">
        <v>40</v>
      </c>
      <c r="I418" s="101">
        <v>2017</v>
      </c>
      <c r="J418" s="102" t="str">
        <f>HYPERLINK("http://www.ekofarmachrastany.cz","http://www.ekofarmachrastany.cz")</f>
        <v>http://www.ekofarmachrastany.cz</v>
      </c>
      <c r="K418" s="102" t="str">
        <f>HYPERLINK("https://www.facebook.com/pivovarhornichrastany","https://www.facebook.com/pivovarhornichrastany")</f>
        <v>https://www.facebook.com/pivovarhornichrastany</v>
      </c>
      <c r="L418" s="96" t="s">
        <v>3607</v>
      </c>
      <c r="M418" s="96"/>
      <c r="N418" s="96" t="s">
        <v>3608</v>
      </c>
      <c r="O418" s="96"/>
      <c r="P418" s="96" t="s">
        <v>7886</v>
      </c>
      <c r="Q418" s="108">
        <v>49.000855799999997</v>
      </c>
      <c r="R418" s="108">
        <v>14.1979597</v>
      </c>
      <c r="S418" s="100" t="s">
        <v>7447</v>
      </c>
      <c r="T418" s="103" t="s">
        <v>369</v>
      </c>
      <c r="U418" s="103" t="s">
        <v>976</v>
      </c>
      <c r="V418" s="103" t="s">
        <v>976</v>
      </c>
      <c r="W418" s="103" t="s">
        <v>4092</v>
      </c>
    </row>
    <row r="419" spans="1:23" ht="15.75" customHeight="1">
      <c r="A419" s="96">
        <v>421</v>
      </c>
      <c r="B419" s="97" t="s">
        <v>27</v>
      </c>
      <c r="C419" s="96" t="s">
        <v>3610</v>
      </c>
      <c r="D419" s="96" t="s">
        <v>3611</v>
      </c>
      <c r="E419" s="96" t="s">
        <v>636</v>
      </c>
      <c r="F419" s="96" t="s">
        <v>3612</v>
      </c>
      <c r="G419" s="99" t="s">
        <v>39</v>
      </c>
      <c r="H419" s="100" t="s">
        <v>40</v>
      </c>
      <c r="I419" s="101">
        <v>2017</v>
      </c>
      <c r="J419" s="96"/>
      <c r="K419" s="102" t="str">
        <f>HYPERLINK("https://www.facebook.com/Hospodský-pivovar-U-Sudu-151972064973213","https://www.facebook.com/Hospodský-pivovar-U-Sudu-151972064973213")</f>
        <v>https://www.facebook.com/Hospodský-pivovar-U-Sudu-151972064973213</v>
      </c>
      <c r="L419" s="96" t="s">
        <v>3613</v>
      </c>
      <c r="M419" s="96"/>
      <c r="N419" s="96" t="s">
        <v>3615</v>
      </c>
      <c r="O419" s="96"/>
      <c r="P419" s="96" t="s">
        <v>7887</v>
      </c>
      <c r="Q419" s="108">
        <v>49.393747500000003</v>
      </c>
      <c r="R419" s="108">
        <v>15.586662499999999</v>
      </c>
      <c r="S419" s="100" t="s">
        <v>7447</v>
      </c>
      <c r="T419" s="103" t="s">
        <v>144</v>
      </c>
      <c r="U419" s="103" t="s">
        <v>636</v>
      </c>
      <c r="V419" s="103" t="s">
        <v>636</v>
      </c>
      <c r="W419" s="103" t="s">
        <v>636</v>
      </c>
    </row>
    <row r="420" spans="1:23" ht="15.75" customHeight="1">
      <c r="A420" s="96">
        <v>422</v>
      </c>
      <c r="B420" s="97" t="s">
        <v>27</v>
      </c>
      <c r="C420" s="96" t="s">
        <v>3617</v>
      </c>
      <c r="D420" s="96" t="s">
        <v>3618</v>
      </c>
      <c r="E420" s="96" t="s">
        <v>3619</v>
      </c>
      <c r="F420" s="96" t="s">
        <v>3620</v>
      </c>
      <c r="G420" s="99" t="s">
        <v>39</v>
      </c>
      <c r="H420" s="100" t="s">
        <v>40</v>
      </c>
      <c r="I420" s="101">
        <v>2017</v>
      </c>
      <c r="J420" s="102" t="str">
        <f>HYPERLINK("http://www.dedkuv-mlyn.cz","http://www.dedkuv-mlyn.cz")</f>
        <v>http://www.dedkuv-mlyn.cz</v>
      </c>
      <c r="K420" s="107" t="s">
        <v>4093</v>
      </c>
      <c r="L420" s="96" t="s">
        <v>3621</v>
      </c>
      <c r="M420" s="96"/>
      <c r="N420" s="96" t="s">
        <v>3622</v>
      </c>
      <c r="O420" s="96"/>
      <c r="P420" s="96" t="s">
        <v>7888</v>
      </c>
      <c r="Q420" s="111" t="s">
        <v>4094</v>
      </c>
      <c r="R420" s="108">
        <v>14.099187499999999</v>
      </c>
      <c r="S420" s="100" t="s">
        <v>7447</v>
      </c>
      <c r="T420" s="103" t="s">
        <v>71</v>
      </c>
      <c r="U420" s="103" t="s">
        <v>72</v>
      </c>
      <c r="V420" s="103" t="s">
        <v>72</v>
      </c>
      <c r="W420" s="103" t="s">
        <v>4095</v>
      </c>
    </row>
    <row r="421" spans="1:23" ht="15.75" customHeight="1">
      <c r="A421" s="96">
        <v>423</v>
      </c>
      <c r="B421" s="97" t="s">
        <v>27</v>
      </c>
      <c r="C421" s="96" t="s">
        <v>3624</v>
      </c>
      <c r="D421" s="96" t="s">
        <v>3625</v>
      </c>
      <c r="E421" s="96" t="s">
        <v>3469</v>
      </c>
      <c r="F421" s="96" t="s">
        <v>3626</v>
      </c>
      <c r="G421" s="99" t="s">
        <v>39</v>
      </c>
      <c r="H421" s="100" t="s">
        <v>40</v>
      </c>
      <c r="I421" s="101">
        <v>2017</v>
      </c>
      <c r="J421" s="102" t="s">
        <v>3628</v>
      </c>
      <c r="K421" s="102" t="str">
        <f>HYPERLINK("https://www.facebook.com/pivovarvolt","https://www.facebook.com/pivovarvolt")</f>
        <v>https://www.facebook.com/pivovarvolt</v>
      </c>
      <c r="L421" s="96" t="s">
        <v>3629</v>
      </c>
      <c r="M421" s="96"/>
      <c r="N421" s="96" t="s">
        <v>3630</v>
      </c>
      <c r="O421" s="96"/>
      <c r="P421" s="96" t="s">
        <v>7889</v>
      </c>
      <c r="Q421" s="108">
        <v>50.731833100000003</v>
      </c>
      <c r="R421" s="108">
        <v>15.1699042</v>
      </c>
      <c r="S421" s="100" t="s">
        <v>52</v>
      </c>
      <c r="T421" s="103" t="s">
        <v>67</v>
      </c>
      <c r="U421" s="103" t="s">
        <v>3469</v>
      </c>
      <c r="V421" s="103" t="s">
        <v>3469</v>
      </c>
      <c r="W421" s="103" t="s">
        <v>3469</v>
      </c>
    </row>
    <row r="422" spans="1:23" ht="15.75" customHeight="1">
      <c r="A422" s="96">
        <v>424</v>
      </c>
      <c r="B422" s="97" t="s">
        <v>27</v>
      </c>
      <c r="C422" s="96" t="s">
        <v>3632</v>
      </c>
      <c r="D422" s="96" t="s">
        <v>3633</v>
      </c>
      <c r="E422" s="96" t="s">
        <v>3634</v>
      </c>
      <c r="F422" s="96" t="s">
        <v>3635</v>
      </c>
      <c r="G422" s="99" t="s">
        <v>39</v>
      </c>
      <c r="H422" s="100" t="s">
        <v>40</v>
      </c>
      <c r="I422" s="101">
        <v>2017</v>
      </c>
      <c r="J422" s="102" t="str">
        <f>HYPERLINK("http://www.hermanicky-pivovar.cz","http://www.hermanicky-pivovar.cz")</f>
        <v>http://www.hermanicky-pivovar.cz</v>
      </c>
      <c r="K422" s="102" t="s">
        <v>3636</v>
      </c>
      <c r="L422" s="96" t="s">
        <v>3637</v>
      </c>
      <c r="M422" s="96"/>
      <c r="N422" s="96" t="s">
        <v>3632</v>
      </c>
      <c r="O422" s="102" t="s">
        <v>3639</v>
      </c>
      <c r="P422" s="96" t="s">
        <v>7890</v>
      </c>
      <c r="Q422" s="108">
        <v>49.859287500000001</v>
      </c>
      <c r="R422" s="108">
        <v>18.330060799999998</v>
      </c>
      <c r="S422" s="100" t="s">
        <v>52</v>
      </c>
      <c r="T422" s="103" t="s">
        <v>121</v>
      </c>
      <c r="U422" s="103" t="s">
        <v>122</v>
      </c>
      <c r="V422" s="103" t="s">
        <v>123</v>
      </c>
      <c r="W422" s="103" t="s">
        <v>123</v>
      </c>
    </row>
    <row r="423" spans="1:23" ht="15.75" customHeight="1">
      <c r="A423" s="96">
        <v>425</v>
      </c>
      <c r="B423" s="97" t="s">
        <v>27</v>
      </c>
      <c r="C423" s="96" t="s">
        <v>3641</v>
      </c>
      <c r="D423" s="96" t="s">
        <v>3642</v>
      </c>
      <c r="E423" s="96" t="s">
        <v>1140</v>
      </c>
      <c r="F423" s="96" t="s">
        <v>3643</v>
      </c>
      <c r="G423" s="99" t="s">
        <v>39</v>
      </c>
      <c r="H423" s="100" t="s">
        <v>69</v>
      </c>
      <c r="I423" s="101">
        <v>2017</v>
      </c>
      <c r="J423" s="102" t="str">
        <f>HYPERLINK("http://www.pmpivovary.cz","http://www.pmpivovary.cz")</f>
        <v>http://www.pmpivovary.cz</v>
      </c>
      <c r="K423" s="102" t="str">
        <f>HYPERLINK("https://www.facebook.com/Kalikovar-1971581929736226","https://www.facebook.com/Kalikovar-1971581929736226")</f>
        <v>https://www.facebook.com/Kalikovar-1971581929736226</v>
      </c>
      <c r="L423" s="96" t="s">
        <v>3644</v>
      </c>
      <c r="M423" s="96"/>
      <c r="N423" s="96" t="s">
        <v>3645</v>
      </c>
      <c r="O423" s="96"/>
      <c r="P423" s="96" t="s">
        <v>7891</v>
      </c>
      <c r="Q423" s="108">
        <v>49.750402800000003</v>
      </c>
      <c r="R423" s="108">
        <v>13.365662800000001</v>
      </c>
      <c r="S423" s="100" t="s">
        <v>7447</v>
      </c>
      <c r="T423" s="103" t="s">
        <v>217</v>
      </c>
      <c r="U423" s="103" t="s">
        <v>1139</v>
      </c>
      <c r="V423" s="103" t="s">
        <v>1140</v>
      </c>
      <c r="W423" s="103" t="s">
        <v>1140</v>
      </c>
    </row>
    <row r="424" spans="1:23" ht="15.75" customHeight="1">
      <c r="A424" s="96">
        <v>426</v>
      </c>
      <c r="B424" s="97" t="s">
        <v>27</v>
      </c>
      <c r="C424" s="96" t="s">
        <v>410</v>
      </c>
      <c r="D424" s="96" t="s">
        <v>3647</v>
      </c>
      <c r="E424" s="96" t="s">
        <v>410</v>
      </c>
      <c r="F424" s="96" t="s">
        <v>411</v>
      </c>
      <c r="G424" s="99" t="s">
        <v>39</v>
      </c>
      <c r="H424" s="100" t="s">
        <v>40</v>
      </c>
      <c r="I424" s="101">
        <v>2016</v>
      </c>
      <c r="J424" s="102" t="str">
        <f>HYPERLINK("http://www.pivovarceskykrumlov.cz","http://www.pivovarceskykrumlov.cz")</f>
        <v>http://www.pivovarceskykrumlov.cz</v>
      </c>
      <c r="K424" s="102" t="str">
        <f>HYPERLINK("https://www.facebook.com/Historický-pivovar-Český-Krumlov-1705939106379562","https://www.facebook.com/Historický-pivovar-Český-Krumlov-1705939106379562")</f>
        <v>https://www.facebook.com/Historický-pivovar-Český-Krumlov-1705939106379562</v>
      </c>
      <c r="L424" s="96" t="s">
        <v>3649</v>
      </c>
      <c r="M424" s="96"/>
      <c r="N424" s="96"/>
      <c r="O424" s="96"/>
      <c r="P424" s="96" t="s">
        <v>7892</v>
      </c>
      <c r="Q424" s="108">
        <v>48.813305</v>
      </c>
      <c r="R424" s="108">
        <v>14.319463600000001</v>
      </c>
      <c r="S424" s="100" t="s">
        <v>7447</v>
      </c>
      <c r="T424" s="103" t="s">
        <v>369</v>
      </c>
      <c r="U424" s="103" t="s">
        <v>410</v>
      </c>
      <c r="V424" s="103" t="s">
        <v>410</v>
      </c>
      <c r="W424" s="103" t="s">
        <v>410</v>
      </c>
    </row>
    <row r="425" spans="1:23" ht="15.75" customHeight="1">
      <c r="A425" s="96">
        <v>427</v>
      </c>
      <c r="B425" s="97" t="s">
        <v>27</v>
      </c>
      <c r="C425" s="96" t="s">
        <v>3651</v>
      </c>
      <c r="D425" s="96" t="s">
        <v>3652</v>
      </c>
      <c r="E425" s="96" t="s">
        <v>3653</v>
      </c>
      <c r="F425" s="96" t="s">
        <v>3654</v>
      </c>
      <c r="G425" s="99" t="s">
        <v>39</v>
      </c>
      <c r="H425" s="100" t="s">
        <v>89</v>
      </c>
      <c r="I425" s="101" t="s">
        <v>4096</v>
      </c>
      <c r="J425" s="96" t="s">
        <v>3655</v>
      </c>
      <c r="K425" s="96"/>
      <c r="L425" s="96" t="s">
        <v>3656</v>
      </c>
      <c r="M425" s="96"/>
      <c r="N425" s="96" t="s">
        <v>3658</v>
      </c>
      <c r="O425" s="96"/>
      <c r="P425" s="96" t="s">
        <v>7893</v>
      </c>
      <c r="Q425" s="101">
        <v>49.290940999999897</v>
      </c>
      <c r="R425" s="101">
        <v>17.740309</v>
      </c>
      <c r="S425" s="100" t="s">
        <v>7447</v>
      </c>
      <c r="T425" s="103" t="s">
        <v>97</v>
      </c>
      <c r="U425" s="103" t="s">
        <v>2156</v>
      </c>
      <c r="V425" s="103" t="s">
        <v>2156</v>
      </c>
      <c r="W425" s="103" t="s">
        <v>3653</v>
      </c>
    </row>
    <row r="426" spans="1:23" ht="15.75" customHeight="1">
      <c r="A426" s="96">
        <v>428</v>
      </c>
      <c r="B426" s="97" t="s">
        <v>27</v>
      </c>
      <c r="C426" s="96" t="s">
        <v>3660</v>
      </c>
      <c r="D426" s="96" t="s">
        <v>3661</v>
      </c>
      <c r="E426" s="96" t="s">
        <v>3662</v>
      </c>
      <c r="F426" s="96" t="s">
        <v>3663</v>
      </c>
      <c r="G426" s="99" t="s">
        <v>39</v>
      </c>
      <c r="H426" s="100" t="s">
        <v>69</v>
      </c>
      <c r="I426" s="101">
        <v>2017</v>
      </c>
      <c r="J426" s="102" t="str">
        <f>HYPERLINK("http://www.pivovardejf.cz","http://www.pivovardejf.cz")</f>
        <v>http://www.pivovardejf.cz</v>
      </c>
      <c r="K426" s="102" t="str">
        <f>HYPERLINK("https://www.facebook.com/pivovarDejf","https://www.facebook.com/pivovarDejf")</f>
        <v>https://www.facebook.com/pivovarDejf</v>
      </c>
      <c r="L426" s="96" t="s">
        <v>3665</v>
      </c>
      <c r="M426" s="96"/>
      <c r="N426" s="96" t="s">
        <v>3667</v>
      </c>
      <c r="O426" s="102" t="s">
        <v>3668</v>
      </c>
      <c r="P426" s="96" t="s">
        <v>7894</v>
      </c>
      <c r="Q426" s="108">
        <v>49.722318899999998</v>
      </c>
      <c r="R426" s="108">
        <v>18.078665600000001</v>
      </c>
      <c r="S426" s="100" t="s">
        <v>52</v>
      </c>
      <c r="T426" s="103" t="s">
        <v>121</v>
      </c>
      <c r="U426" s="103" t="s">
        <v>1902</v>
      </c>
      <c r="V426" s="103" t="s">
        <v>1906</v>
      </c>
      <c r="W426" s="103" t="s">
        <v>3662</v>
      </c>
    </row>
    <row r="427" spans="1:23" ht="15.75" customHeight="1">
      <c r="A427" s="96">
        <v>429</v>
      </c>
      <c r="B427" s="97" t="s">
        <v>27</v>
      </c>
      <c r="C427" s="96" t="s">
        <v>3670</v>
      </c>
      <c r="D427" s="96" t="s">
        <v>3671</v>
      </c>
      <c r="E427" s="96" t="s">
        <v>3672</v>
      </c>
      <c r="F427" s="96" t="s">
        <v>3673</v>
      </c>
      <c r="G427" s="99" t="s">
        <v>39</v>
      </c>
      <c r="H427" s="100" t="s">
        <v>60</v>
      </c>
      <c r="I427" s="101">
        <v>2017</v>
      </c>
      <c r="J427" s="102" t="s">
        <v>3674</v>
      </c>
      <c r="K427" s="102" t="str">
        <f>HYPERLINK("https://www.facebook.com/pivovar.trojan","https://www.facebook.com/pivovar.trojan")</f>
        <v>https://www.facebook.com/pivovar.trojan</v>
      </c>
      <c r="L427" s="96" t="s">
        <v>3675</v>
      </c>
      <c r="M427" s="96"/>
      <c r="N427" s="96" t="s">
        <v>3676</v>
      </c>
      <c r="O427" s="96"/>
      <c r="P427" s="96" t="s">
        <v>7895</v>
      </c>
      <c r="Q427" s="108">
        <v>49.186176099999997</v>
      </c>
      <c r="R427" s="108">
        <v>15.4654633</v>
      </c>
      <c r="S427" s="100" t="s">
        <v>7447</v>
      </c>
      <c r="T427" s="103" t="s">
        <v>144</v>
      </c>
      <c r="U427" s="103" t="s">
        <v>636</v>
      </c>
      <c r="V427" s="103" t="s">
        <v>3672</v>
      </c>
      <c r="W427" s="103" t="s">
        <v>3672</v>
      </c>
    </row>
    <row r="428" spans="1:23" ht="15.75" customHeight="1">
      <c r="A428" s="96">
        <v>430</v>
      </c>
      <c r="B428" s="97" t="s">
        <v>27</v>
      </c>
      <c r="C428" s="96" t="s">
        <v>3678</v>
      </c>
      <c r="D428" s="96" t="s">
        <v>3679</v>
      </c>
      <c r="E428" s="96" t="s">
        <v>1165</v>
      </c>
      <c r="F428" s="96" t="s">
        <v>3680</v>
      </c>
      <c r="G428" s="99" t="s">
        <v>39</v>
      </c>
      <c r="H428" s="100" t="s">
        <v>69</v>
      </c>
      <c r="I428" s="101">
        <v>2017</v>
      </c>
      <c r="J428" s="102" t="str">
        <f>HYPERLINK("http://jungberg.cz","http://jungberg.cz")</f>
        <v>http://jungberg.cz</v>
      </c>
      <c r="K428" s="102" t="str">
        <f>HYPERLINK("https://www.facebook.com/PivovarJungBerg","https://www.facebook.com/PivovarJungBerg")</f>
        <v>https://www.facebook.com/PivovarJungBerg</v>
      </c>
      <c r="L428" s="96" t="s">
        <v>3681</v>
      </c>
      <c r="M428" s="96"/>
      <c r="N428" s="96" t="s">
        <v>3683</v>
      </c>
      <c r="O428" s="96"/>
      <c r="P428" s="96" t="s">
        <v>7896</v>
      </c>
      <c r="Q428" s="108">
        <v>50.369665599999998</v>
      </c>
      <c r="R428" s="108">
        <v>15.6383736</v>
      </c>
      <c r="S428" s="100" t="s">
        <v>7447</v>
      </c>
      <c r="T428" s="103" t="s">
        <v>207</v>
      </c>
      <c r="U428" s="103" t="s">
        <v>435</v>
      </c>
      <c r="V428" s="103" t="s">
        <v>1165</v>
      </c>
      <c r="W428" s="103" t="s">
        <v>1165</v>
      </c>
    </row>
    <row r="429" spans="1:23" ht="15.75" customHeight="1">
      <c r="A429" s="96">
        <v>431</v>
      </c>
      <c r="B429" s="97" t="s">
        <v>27</v>
      </c>
      <c r="C429" s="96" t="s">
        <v>3685</v>
      </c>
      <c r="D429" s="96" t="s">
        <v>3686</v>
      </c>
      <c r="E429" s="96" t="s">
        <v>3687</v>
      </c>
      <c r="F429" s="96" t="s">
        <v>3688</v>
      </c>
      <c r="G429" s="99" t="s">
        <v>39</v>
      </c>
      <c r="H429" s="100" t="s">
        <v>60</v>
      </c>
      <c r="I429" s="101">
        <v>2017</v>
      </c>
      <c r="J429" s="102" t="str">
        <f>HYPERLINK("http://pivovar-spitt.webnode.cz","http://pivovar-spitt.webnode.cz")</f>
        <v>http://pivovar-spitt.webnode.cz</v>
      </c>
      <c r="K429" s="102" t="str">
        <f>HYPERLINK("https://www.facebook.com/Pivovar-%C5%A0pitt-487345268278807","https://www.facebook.com/Pivovar-%C5%A0pitt-487345268278807")</f>
        <v>https://www.facebook.com/Pivovar-%C5%A0pitt-487345268278807</v>
      </c>
      <c r="L429" s="96" t="s">
        <v>3689</v>
      </c>
      <c r="M429" s="96"/>
      <c r="N429" s="96" t="s">
        <v>3685</v>
      </c>
      <c r="O429" s="96"/>
      <c r="P429" s="96" t="s">
        <v>7897</v>
      </c>
      <c r="Q429" s="108">
        <v>50.531272199999997</v>
      </c>
      <c r="R429" s="108">
        <v>14.217475800000001</v>
      </c>
      <c r="S429" s="100" t="s">
        <v>7447</v>
      </c>
      <c r="T429" s="103" t="s">
        <v>353</v>
      </c>
      <c r="U429" s="103" t="s">
        <v>767</v>
      </c>
      <c r="V429" s="103" t="s">
        <v>767</v>
      </c>
      <c r="W429" s="103" t="s">
        <v>4097</v>
      </c>
    </row>
    <row r="430" spans="1:23" ht="15.75" customHeight="1">
      <c r="A430" s="96">
        <v>432</v>
      </c>
      <c r="B430" s="97" t="s">
        <v>27</v>
      </c>
      <c r="C430" s="96" t="s">
        <v>3692</v>
      </c>
      <c r="D430" s="96" t="s">
        <v>3693</v>
      </c>
      <c r="E430" s="96" t="s">
        <v>3694</v>
      </c>
      <c r="F430" s="96" t="s">
        <v>3695</v>
      </c>
      <c r="G430" s="99" t="s">
        <v>39</v>
      </c>
      <c r="H430" s="100" t="s">
        <v>69</v>
      </c>
      <c r="I430" s="101">
        <v>2017</v>
      </c>
      <c r="J430" s="96"/>
      <c r="K430" s="102" t="str">
        <f>HYPERLINK("https://www.facebook.com/Pivovar-Koberice-336494666511980","https://www.facebook.com/Pivovar-Koberice-336494666511980")</f>
        <v>https://www.facebook.com/Pivovar-Koberice-336494666511980</v>
      </c>
      <c r="L430" s="96" t="s">
        <v>3696</v>
      </c>
      <c r="M430" s="96"/>
      <c r="N430" s="96"/>
      <c r="O430" s="96"/>
      <c r="P430" s="96" t="s">
        <v>7898</v>
      </c>
      <c r="Q430" s="108">
        <v>49.369629199999999</v>
      </c>
      <c r="R430" s="108">
        <v>17.112512800000001</v>
      </c>
      <c r="S430" s="100" t="s">
        <v>7447</v>
      </c>
      <c r="T430" s="103" t="s">
        <v>312</v>
      </c>
      <c r="U430" s="103" t="s">
        <v>622</v>
      </c>
      <c r="V430" s="103" t="s">
        <v>622</v>
      </c>
      <c r="W430" s="103" t="s">
        <v>4098</v>
      </c>
    </row>
    <row r="431" spans="1:23" ht="15.75" customHeight="1">
      <c r="A431" s="96">
        <v>433</v>
      </c>
      <c r="B431" s="97" t="s">
        <v>27</v>
      </c>
      <c r="C431" s="96" t="s">
        <v>3698</v>
      </c>
      <c r="D431" s="96" t="s">
        <v>3699</v>
      </c>
      <c r="E431" s="96" t="s">
        <v>3700</v>
      </c>
      <c r="F431" s="96" t="s">
        <v>3701</v>
      </c>
      <c r="G431" s="99" t="s">
        <v>39</v>
      </c>
      <c r="H431" s="100" t="s">
        <v>60</v>
      </c>
      <c r="I431" s="101">
        <v>2017</v>
      </c>
      <c r="J431" s="102" t="str">
        <f>HYPERLINK("http://www.pivovar-mlyn.cz","http://www.pivovar-mlyn.cz")</f>
        <v>http://www.pivovar-mlyn.cz</v>
      </c>
      <c r="K431" s="102" t="str">
        <f>HYPERLINK("https://www.facebook.com/pivovarmlyn","https://www.facebook.com/pivovarmlyn")</f>
        <v>https://www.facebook.com/pivovarmlyn</v>
      </c>
      <c r="L431" s="96" t="s">
        <v>3703</v>
      </c>
      <c r="M431" s="96"/>
      <c r="N431" s="96"/>
      <c r="O431" s="96"/>
      <c r="P431" s="96" t="s">
        <v>7899</v>
      </c>
      <c r="Q431" s="108">
        <v>50.519553299999998</v>
      </c>
      <c r="R431" s="108">
        <v>14.384344199999999</v>
      </c>
      <c r="S431" s="100" t="s">
        <v>7447</v>
      </c>
      <c r="T431" s="103" t="s">
        <v>353</v>
      </c>
      <c r="U431" s="103" t="s">
        <v>767</v>
      </c>
      <c r="V431" s="103" t="s">
        <v>767</v>
      </c>
      <c r="W431" s="103" t="s">
        <v>4099</v>
      </c>
    </row>
    <row r="432" spans="1:23" ht="15.75" customHeight="1">
      <c r="A432" s="96">
        <v>434</v>
      </c>
      <c r="B432" s="97" t="s">
        <v>27</v>
      </c>
      <c r="C432" s="96" t="s">
        <v>3705</v>
      </c>
      <c r="D432" s="96" t="s">
        <v>3706</v>
      </c>
      <c r="E432" s="96" t="s">
        <v>3705</v>
      </c>
      <c r="F432" s="96" t="s">
        <v>3707</v>
      </c>
      <c r="G432" s="99" t="s">
        <v>39</v>
      </c>
      <c r="H432" s="100" t="s">
        <v>40</v>
      </c>
      <c r="I432" s="101">
        <v>2017</v>
      </c>
      <c r="J432" s="102" t="str">
        <f>HYPERLINK("http://penzion-hnanice.cz","http://penzion-hnanice.cz")</f>
        <v>http://penzion-hnanice.cz</v>
      </c>
      <c r="K432" s="102" t="str">
        <f>HYPERLINK("https://www.facebook.com/pivovar.hnanice","https://www.facebook.com/pivovar.hnanice")</f>
        <v>https://www.facebook.com/pivovar.hnanice</v>
      </c>
      <c r="L432" s="96" t="s">
        <v>3708</v>
      </c>
      <c r="M432" s="96"/>
      <c r="N432" s="96"/>
      <c r="O432" s="96"/>
      <c r="P432" s="96" t="s">
        <v>7900</v>
      </c>
      <c r="Q432" s="108">
        <v>48.7972039</v>
      </c>
      <c r="R432" s="108">
        <v>15.987108900000001</v>
      </c>
      <c r="S432" s="100" t="s">
        <v>7447</v>
      </c>
      <c r="T432" s="103" t="s">
        <v>325</v>
      </c>
      <c r="U432" s="103" t="s">
        <v>555</v>
      </c>
      <c r="V432" s="103" t="s">
        <v>555</v>
      </c>
      <c r="W432" s="103" t="s">
        <v>3705</v>
      </c>
    </row>
    <row r="433" spans="1:23" ht="15.75" customHeight="1">
      <c r="A433" s="96">
        <v>435</v>
      </c>
      <c r="B433" s="97" t="s">
        <v>27</v>
      </c>
      <c r="C433" s="96" t="s">
        <v>3711</v>
      </c>
      <c r="D433" s="96" t="s">
        <v>3712</v>
      </c>
      <c r="E433" s="96" t="s">
        <v>622</v>
      </c>
      <c r="F433" s="100" t="s">
        <v>4100</v>
      </c>
      <c r="G433" s="99" t="s">
        <v>39</v>
      </c>
      <c r="H433" s="100" t="s">
        <v>69</v>
      </c>
      <c r="I433" s="101">
        <v>2017</v>
      </c>
      <c r="J433" s="107" t="s">
        <v>4101</v>
      </c>
      <c r="K433" s="102" t="str">
        <f>HYPERLINK("https://www.facebook.com/Velkorakovský-minipivovar-176059596205220","https://www.facebook.com/Velkorakovský-minipivovar-176059596205220")</f>
        <v>https://www.facebook.com/Velkorakovský-minipivovar-176059596205220</v>
      </c>
      <c r="L433" s="96" t="s">
        <v>3714</v>
      </c>
      <c r="M433" s="96" t="s">
        <v>3715</v>
      </c>
      <c r="N433" s="100" t="s">
        <v>4102</v>
      </c>
      <c r="O433" s="107" t="s">
        <v>4103</v>
      </c>
      <c r="P433" s="96" t="s">
        <v>7901</v>
      </c>
      <c r="Q433" s="108">
        <v>49.4691878</v>
      </c>
      <c r="R433" s="108">
        <v>17.130508899999999</v>
      </c>
      <c r="S433" s="100" t="s">
        <v>52</v>
      </c>
      <c r="T433" s="103" t="s">
        <v>312</v>
      </c>
      <c r="U433" s="103" t="s">
        <v>622</v>
      </c>
      <c r="V433" s="103" t="s">
        <v>622</v>
      </c>
      <c r="W433" s="103" t="s">
        <v>622</v>
      </c>
    </row>
    <row r="434" spans="1:23" ht="15.75" customHeight="1">
      <c r="A434" s="96">
        <v>436</v>
      </c>
      <c r="B434" s="97" t="s">
        <v>27</v>
      </c>
      <c r="C434" s="96" t="s">
        <v>3718</v>
      </c>
      <c r="D434" s="96" t="s">
        <v>3719</v>
      </c>
      <c r="E434" s="96" t="s">
        <v>401</v>
      </c>
      <c r="F434" s="96" t="s">
        <v>3720</v>
      </c>
      <c r="G434" s="99" t="s">
        <v>39</v>
      </c>
      <c r="H434" s="100" t="s">
        <v>40</v>
      </c>
      <c r="I434" s="101">
        <v>2017</v>
      </c>
      <c r="J434" s="100"/>
      <c r="K434" s="102" t="str">
        <f>HYPERLINK("https://www.facebook.com/www.presticky.pivovar.cz","https://www.facebook.com/www.presticky.pivovar.cz")</f>
        <v>https://www.facebook.com/www.presticky.pivovar.cz</v>
      </c>
      <c r="L434" s="96" t="s">
        <v>3721</v>
      </c>
      <c r="M434" s="96"/>
      <c r="N434" s="96" t="s">
        <v>3723</v>
      </c>
      <c r="O434" s="96"/>
      <c r="P434" s="96" t="s">
        <v>7902</v>
      </c>
      <c r="Q434" s="108">
        <v>49.572741399999998</v>
      </c>
      <c r="R434" s="108">
        <v>13.3306106</v>
      </c>
      <c r="S434" s="100" t="s">
        <v>7447</v>
      </c>
      <c r="T434" s="103" t="s">
        <v>217</v>
      </c>
      <c r="U434" s="103" t="s">
        <v>399</v>
      </c>
      <c r="V434" s="103" t="s">
        <v>401</v>
      </c>
      <c r="W434" s="103" t="s">
        <v>401</v>
      </c>
    </row>
    <row r="435" spans="1:23" ht="15.75" customHeight="1">
      <c r="A435" s="96">
        <v>437</v>
      </c>
      <c r="B435" s="97" t="s">
        <v>27</v>
      </c>
      <c r="C435" s="96" t="s">
        <v>3725</v>
      </c>
      <c r="D435" s="96" t="s">
        <v>3726</v>
      </c>
      <c r="E435" s="96" t="s">
        <v>288</v>
      </c>
      <c r="F435" s="96" t="s">
        <v>3727</v>
      </c>
      <c r="G435" s="99" t="s">
        <v>39</v>
      </c>
      <c r="H435" s="100" t="s">
        <v>40</v>
      </c>
      <c r="I435" s="101">
        <v>2017</v>
      </c>
      <c r="J435" s="102" t="str">
        <f>HYPERLINK("https://www.krasenskypivovar.cz","https://www.krasenskypivovar.cz")</f>
        <v>https://www.krasenskypivovar.cz</v>
      </c>
      <c r="K435" s="102" t="s">
        <v>3729</v>
      </c>
      <c r="L435" s="96" t="s">
        <v>3730</v>
      </c>
      <c r="M435" s="96"/>
      <c r="N435" s="96" t="s">
        <v>3731</v>
      </c>
      <c r="O435" s="102" t="s">
        <v>3732</v>
      </c>
      <c r="P435" s="96" t="s">
        <v>7903</v>
      </c>
      <c r="Q435" s="108">
        <v>49.473783599999997</v>
      </c>
      <c r="R435" s="108">
        <v>17.971983900000001</v>
      </c>
      <c r="S435" s="100" t="s">
        <v>52</v>
      </c>
      <c r="T435" s="103" t="s">
        <v>97</v>
      </c>
      <c r="U435" s="103" t="s">
        <v>287</v>
      </c>
      <c r="V435" s="103" t="s">
        <v>288</v>
      </c>
      <c r="W435" s="103" t="s">
        <v>288</v>
      </c>
    </row>
    <row r="436" spans="1:23" ht="15.75" customHeight="1">
      <c r="A436" s="96">
        <v>438</v>
      </c>
      <c r="B436" s="97" t="s">
        <v>27</v>
      </c>
      <c r="C436" s="96" t="s">
        <v>3734</v>
      </c>
      <c r="D436" s="96" t="s">
        <v>3735</v>
      </c>
      <c r="E436" s="96" t="s">
        <v>3736</v>
      </c>
      <c r="F436" s="96" t="s">
        <v>3737</v>
      </c>
      <c r="G436" s="99" t="s">
        <v>39</v>
      </c>
      <c r="H436" s="100" t="s">
        <v>69</v>
      </c>
      <c r="I436" s="101">
        <v>2017</v>
      </c>
      <c r="J436" s="102" t="str">
        <f>HYPERLINK("http://www.sobesicke-pivo.cz","http://www.sobesicke-pivo.cz")</f>
        <v>http://www.sobesicke-pivo.cz</v>
      </c>
      <c r="K436" s="102" t="str">
        <f>HYPERLINK("https://www.facebook.com/PrvniSobesickyPivovar","https://www.facebook.com/PrvniSobesickyPivovar")</f>
        <v>https://www.facebook.com/PrvniSobesickyPivovar</v>
      </c>
      <c r="L436" s="96" t="s">
        <v>3738</v>
      </c>
      <c r="M436" s="96"/>
      <c r="N436" s="96" t="s">
        <v>3739</v>
      </c>
      <c r="O436" s="96"/>
      <c r="P436" s="96" t="s">
        <v>7904</v>
      </c>
      <c r="Q436" s="108">
        <v>49.2548247</v>
      </c>
      <c r="R436" s="108">
        <v>16.6229403</v>
      </c>
      <c r="S436" s="100" t="s">
        <v>7447</v>
      </c>
      <c r="T436" s="103" t="s">
        <v>325</v>
      </c>
      <c r="U436" s="103" t="s">
        <v>1017</v>
      </c>
      <c r="V436" s="103" t="s">
        <v>1018</v>
      </c>
      <c r="W436" s="103" t="s">
        <v>1018</v>
      </c>
    </row>
    <row r="437" spans="1:23" ht="15.75" customHeight="1">
      <c r="A437" s="96">
        <v>439</v>
      </c>
      <c r="B437" s="97" t="s">
        <v>27</v>
      </c>
      <c r="C437" s="96" t="s">
        <v>3741</v>
      </c>
      <c r="D437" s="96" t="s">
        <v>3742</v>
      </c>
      <c r="E437" s="96" t="s">
        <v>3743</v>
      </c>
      <c r="F437" s="96" t="s">
        <v>3744</v>
      </c>
      <c r="G437" s="99" t="s">
        <v>39</v>
      </c>
      <c r="H437" s="100" t="s">
        <v>40</v>
      </c>
      <c r="I437" s="101">
        <v>2017</v>
      </c>
      <c r="J437" s="102" t="str">
        <f>HYPERLINK("http://www.pivokrum.cz","http://www.pivokrum.cz")</f>
        <v>http://www.pivokrum.cz</v>
      </c>
      <c r="K437" s="102" t="str">
        <f>HYPERLINK("https://www.facebook.com/HotelRokiten","https://www.facebook.com/HotelRokiten")</f>
        <v>https://www.facebook.com/HotelRokiten</v>
      </c>
      <c r="L437" s="96" t="s">
        <v>3745</v>
      </c>
      <c r="M437" s="96"/>
      <c r="N437" s="96" t="s">
        <v>3741</v>
      </c>
      <c r="O437" s="102" t="s">
        <v>3747</v>
      </c>
      <c r="P437" s="96" t="s">
        <v>7905</v>
      </c>
      <c r="Q437" s="108">
        <v>49.0390242</v>
      </c>
      <c r="R437" s="108">
        <v>16.312412800000001</v>
      </c>
      <c r="S437" s="100" t="s">
        <v>52</v>
      </c>
      <c r="T437" s="103" t="s">
        <v>325</v>
      </c>
      <c r="U437" s="103" t="s">
        <v>555</v>
      </c>
      <c r="V437" s="103" t="s">
        <v>3743</v>
      </c>
      <c r="W437" s="103" t="s">
        <v>3743</v>
      </c>
    </row>
    <row r="438" spans="1:23" ht="15.75" customHeight="1">
      <c r="A438" s="96">
        <v>440</v>
      </c>
      <c r="B438" s="97" t="s">
        <v>27</v>
      </c>
      <c r="C438" s="96" t="s">
        <v>3749</v>
      </c>
      <c r="D438" s="96" t="s">
        <v>3750</v>
      </c>
      <c r="E438" s="96" t="s">
        <v>208</v>
      </c>
      <c r="F438" s="96" t="s">
        <v>3751</v>
      </c>
      <c r="G438" s="99" t="s">
        <v>39</v>
      </c>
      <c r="H438" s="100" t="s">
        <v>40</v>
      </c>
      <c r="I438" s="101">
        <v>2017</v>
      </c>
      <c r="J438" s="102" t="str">
        <f>HYPERLINK("http://www.hradeckyklenot.cz","http://www.hradeckyklenot.cz")</f>
        <v>http://www.hradeckyklenot.cz</v>
      </c>
      <c r="K438" s="102" t="str">
        <f>HYPERLINK("https://www.facebook.com/hradeckyklenot","https://www.facebook.com/hradeckyklenot")</f>
        <v>https://www.facebook.com/hradeckyklenot</v>
      </c>
      <c r="L438" s="96" t="s">
        <v>3752</v>
      </c>
      <c r="M438" s="96"/>
      <c r="N438" s="96" t="s">
        <v>3749</v>
      </c>
      <c r="O438" s="102" t="s">
        <v>3753</v>
      </c>
      <c r="P438" s="96" t="s">
        <v>7906</v>
      </c>
      <c r="Q438" s="108">
        <v>50.209446100000001</v>
      </c>
      <c r="R438" s="108">
        <v>15.8347917</v>
      </c>
      <c r="S438" s="100" t="s">
        <v>52</v>
      </c>
      <c r="T438" s="103" t="s">
        <v>207</v>
      </c>
      <c r="U438" s="103" t="s">
        <v>208</v>
      </c>
      <c r="V438" s="103" t="s">
        <v>208</v>
      </c>
      <c r="W438" s="103" t="s">
        <v>208</v>
      </c>
    </row>
    <row r="439" spans="1:23" ht="15.75" customHeight="1">
      <c r="A439" s="96">
        <v>441</v>
      </c>
      <c r="B439" s="97" t="s">
        <v>27</v>
      </c>
      <c r="C439" s="96" t="s">
        <v>3755</v>
      </c>
      <c r="D439" s="96" t="s">
        <v>3756</v>
      </c>
      <c r="E439" s="96" t="s">
        <v>3755</v>
      </c>
      <c r="F439" s="96" t="s">
        <v>3757</v>
      </c>
      <c r="G439" s="99" t="s">
        <v>39</v>
      </c>
      <c r="H439" s="100" t="s">
        <v>40</v>
      </c>
      <c r="I439" s="101">
        <v>2017</v>
      </c>
      <c r="J439" s="102" t="str">
        <f>HYPERLINK("http://pivovarsokolnice.cz","http://pivovarsokolnice.cz")</f>
        <v>http://pivovarsokolnice.cz</v>
      </c>
      <c r="K439" s="96"/>
      <c r="L439" s="96" t="s">
        <v>3758</v>
      </c>
      <c r="M439" s="96"/>
      <c r="N439" s="96" t="s">
        <v>3759</v>
      </c>
      <c r="O439" s="102" t="s">
        <v>3760</v>
      </c>
      <c r="P439" s="96" t="s">
        <v>3761</v>
      </c>
      <c r="Q439" s="108">
        <v>49.118882800000002</v>
      </c>
      <c r="R439" s="108">
        <v>16.7274128</v>
      </c>
      <c r="S439" s="100" t="s">
        <v>52</v>
      </c>
      <c r="T439" s="103" t="s">
        <v>325</v>
      </c>
      <c r="U439" s="103" t="s">
        <v>952</v>
      </c>
      <c r="V439" s="103" t="s">
        <v>1589</v>
      </c>
      <c r="W439" s="103" t="s">
        <v>3755</v>
      </c>
    </row>
    <row r="440" spans="1:23" ht="15.75" customHeight="1">
      <c r="A440" s="96">
        <v>442</v>
      </c>
      <c r="B440" s="97" t="s">
        <v>27</v>
      </c>
      <c r="C440" s="96" t="s">
        <v>3762</v>
      </c>
      <c r="D440" s="96" t="s">
        <v>3763</v>
      </c>
      <c r="E440" s="96" t="s">
        <v>3764</v>
      </c>
      <c r="F440" s="96" t="s">
        <v>3765</v>
      </c>
      <c r="G440" s="99" t="s">
        <v>39</v>
      </c>
      <c r="H440" s="100" t="s">
        <v>69</v>
      </c>
      <c r="I440" s="101">
        <v>2017</v>
      </c>
      <c r="J440" s="102" t="str">
        <f>HYPERLINK("http://www.pivovar-moravia.cz","http://www.pivovar-moravia.cz")</f>
        <v>http://www.pivovar-moravia.cz</v>
      </c>
      <c r="K440" s="102" t="str">
        <f>HYPERLINK("https://www.facebook.com/pivovarmoravia","https://www.facebook.com/pivovarmoravia")</f>
        <v>https://www.facebook.com/pivovarmoravia</v>
      </c>
      <c r="L440" s="96" t="s">
        <v>3766</v>
      </c>
      <c r="M440" s="96"/>
      <c r="N440" s="96" t="s">
        <v>3767</v>
      </c>
      <c r="O440" s="96"/>
      <c r="P440" s="96" t="s">
        <v>3769</v>
      </c>
      <c r="Q440" s="108">
        <v>49.242503300000003</v>
      </c>
      <c r="R440" s="108">
        <v>16.574491399999999</v>
      </c>
      <c r="S440" s="100" t="s">
        <v>7447</v>
      </c>
      <c r="T440" s="103" t="s">
        <v>325</v>
      </c>
      <c r="U440" s="103" t="s">
        <v>1017</v>
      </c>
      <c r="V440" s="103" t="s">
        <v>1018</v>
      </c>
      <c r="W440" s="103" t="s">
        <v>1018</v>
      </c>
    </row>
    <row r="441" spans="1:23" ht="15.75" customHeight="1">
      <c r="A441" s="96">
        <v>443</v>
      </c>
      <c r="B441" s="97" t="s">
        <v>27</v>
      </c>
      <c r="C441" s="96" t="s">
        <v>3771</v>
      </c>
      <c r="D441" s="96" t="s">
        <v>3772</v>
      </c>
      <c r="E441" s="96" t="s">
        <v>3773</v>
      </c>
      <c r="F441" s="96" t="s">
        <v>3774</v>
      </c>
      <c r="G441" s="99" t="s">
        <v>39</v>
      </c>
      <c r="H441" s="100" t="s">
        <v>69</v>
      </c>
      <c r="I441" s="101">
        <v>2017</v>
      </c>
      <c r="J441" s="102" t="str">
        <f>HYPERLINK("http://www.hanackypivovar.cz","http://www.hanackypivovar.cz")</f>
        <v>http://www.hanackypivovar.cz</v>
      </c>
      <c r="K441" s="102" t="str">
        <f>HYPERLINK("https://www.facebook.com/hanackypivovar","https://www.facebook.com/hanackypivovar")</f>
        <v>https://www.facebook.com/hanackypivovar</v>
      </c>
      <c r="L441" s="96" t="s">
        <v>3775</v>
      </c>
      <c r="M441" s="96"/>
      <c r="N441" s="96" t="s">
        <v>3776</v>
      </c>
      <c r="O441" s="96"/>
      <c r="P441" s="96" t="s">
        <v>3777</v>
      </c>
      <c r="Q441" s="108">
        <v>49.574313600000004</v>
      </c>
      <c r="R441" s="112">
        <v>17.277994199999998</v>
      </c>
      <c r="S441" s="100" t="s">
        <v>7447</v>
      </c>
      <c r="T441" s="103" t="s">
        <v>312</v>
      </c>
      <c r="U441" s="103" t="s">
        <v>1034</v>
      </c>
      <c r="V441" s="103" t="s">
        <v>1034</v>
      </c>
      <c r="W441" s="103" t="s">
        <v>1034</v>
      </c>
    </row>
    <row r="442" spans="1:23" ht="15.75" customHeight="1">
      <c r="A442" s="96">
        <v>444</v>
      </c>
      <c r="B442" s="97" t="s">
        <v>27</v>
      </c>
      <c r="C442" s="96" t="s">
        <v>3782</v>
      </c>
      <c r="D442" s="96" t="s">
        <v>3783</v>
      </c>
      <c r="E442" s="96" t="s">
        <v>702</v>
      </c>
      <c r="F442" s="96" t="s">
        <v>3784</v>
      </c>
      <c r="G442" s="99" t="s">
        <v>39</v>
      </c>
      <c r="H442" s="100" t="s">
        <v>60</v>
      </c>
      <c r="I442" s="101">
        <v>2017</v>
      </c>
      <c r="J442" s="102" t="str">
        <f>HYPERLINK("http://www.pivovarfilistin.cz","http://www.pivovarfilistin.cz")</f>
        <v>http://www.pivovarfilistin.cz</v>
      </c>
      <c r="K442" s="113" t="str">
        <f>HYPERLINK("https://www.facebook.com/Chrudimský-pivovar-Filištín-710162185850950","https://www.facebook.com/Chrudimský-pivovar-Filištín-710162185850950")</f>
        <v>https://www.facebook.com/Chrudimský-pivovar-Filištín-710162185850950</v>
      </c>
      <c r="L442" s="100" t="s">
        <v>3785</v>
      </c>
      <c r="M442" s="100"/>
      <c r="N442" s="100" t="s">
        <v>3782</v>
      </c>
      <c r="O442" s="100"/>
      <c r="P442" s="100" t="s">
        <v>3786</v>
      </c>
      <c r="Q442" s="100">
        <v>49.952545000000001</v>
      </c>
      <c r="R442" s="100">
        <v>15.793381699999999</v>
      </c>
      <c r="S442" s="100" t="s">
        <v>7447</v>
      </c>
      <c r="T442" s="103" t="s">
        <v>483</v>
      </c>
      <c r="U442" s="103" t="s">
        <v>702</v>
      </c>
      <c r="V442" s="103" t="s">
        <v>702</v>
      </c>
      <c r="W442" s="103" t="s">
        <v>702</v>
      </c>
    </row>
    <row r="443" spans="1:23" ht="15.75" customHeight="1">
      <c r="A443" s="96">
        <v>445</v>
      </c>
      <c r="B443" s="97" t="s">
        <v>27</v>
      </c>
      <c r="C443" s="96" t="s">
        <v>3787</v>
      </c>
      <c r="D443" s="96" t="s">
        <v>3788</v>
      </c>
      <c r="E443" s="96" t="s">
        <v>3789</v>
      </c>
      <c r="F443" s="96" t="s">
        <v>3790</v>
      </c>
      <c r="G443" s="99" t="s">
        <v>39</v>
      </c>
      <c r="H443" s="100" t="s">
        <v>69</v>
      </c>
      <c r="I443" s="101">
        <v>2017</v>
      </c>
      <c r="J443" s="102" t="str">
        <f>HYPERLINK("http://geniusnoci.cz","http://geniusnoci.cz")</f>
        <v>http://geniusnoci.cz</v>
      </c>
      <c r="K443" s="113" t="str">
        <f>HYPERLINK("https://www.facebook.com/GeniusNoci","https://www.facebook.com/GeniusNoci")</f>
        <v>https://www.facebook.com/GeniusNoci</v>
      </c>
      <c r="L443" s="100" t="s">
        <v>3792</v>
      </c>
      <c r="M443" s="100"/>
      <c r="N443" s="98"/>
      <c r="O443" s="114" t="s">
        <v>4104</v>
      </c>
      <c r="P443" s="100" t="s">
        <v>3794</v>
      </c>
      <c r="Q443" s="100">
        <v>49.404768900000001</v>
      </c>
      <c r="R443" s="100">
        <v>16.4140619</v>
      </c>
      <c r="S443" s="100" t="s">
        <v>7447</v>
      </c>
      <c r="T443" s="103" t="s">
        <v>325</v>
      </c>
      <c r="U443" s="103" t="s">
        <v>952</v>
      </c>
      <c r="V443" s="103" t="s">
        <v>953</v>
      </c>
      <c r="W443" s="103" t="s">
        <v>3789</v>
      </c>
    </row>
    <row r="444" spans="1:23" ht="15.75" customHeight="1">
      <c r="A444" s="96">
        <v>446</v>
      </c>
      <c r="B444" s="97" t="s">
        <v>27</v>
      </c>
      <c r="C444" s="100" t="s">
        <v>3795</v>
      </c>
      <c r="D444" s="96" t="s">
        <v>3796</v>
      </c>
      <c r="E444" s="98" t="s">
        <v>3795</v>
      </c>
      <c r="F444" s="96" t="s">
        <v>3797</v>
      </c>
      <c r="G444" s="99" t="s">
        <v>39</v>
      </c>
      <c r="H444" s="100" t="s">
        <v>69</v>
      </c>
      <c r="I444" s="101">
        <v>2017</v>
      </c>
      <c r="J444" s="114" t="s">
        <v>4105</v>
      </c>
      <c r="K444" s="114" t="s">
        <v>4106</v>
      </c>
      <c r="L444" s="100" t="s">
        <v>3798</v>
      </c>
      <c r="M444" s="100"/>
      <c r="N444" s="96" t="s">
        <v>3800</v>
      </c>
      <c r="O444" s="100"/>
      <c r="P444" s="100" t="s">
        <v>3801</v>
      </c>
      <c r="Q444" s="100">
        <v>49.266821700000001</v>
      </c>
      <c r="R444" s="100">
        <v>13.595723599999999</v>
      </c>
      <c r="S444" s="100" t="s">
        <v>7447</v>
      </c>
      <c r="T444" s="103" t="s">
        <v>217</v>
      </c>
      <c r="U444" s="103" t="s">
        <v>218</v>
      </c>
      <c r="V444" s="103" t="s">
        <v>2148</v>
      </c>
      <c r="W444" s="103" t="s">
        <v>4107</v>
      </c>
    </row>
    <row r="445" spans="1:23" ht="15.75" customHeight="1">
      <c r="A445" s="96">
        <v>447</v>
      </c>
      <c r="B445" s="97" t="s">
        <v>27</v>
      </c>
      <c r="C445" s="96" t="s">
        <v>1635</v>
      </c>
      <c r="D445" s="96" t="s">
        <v>3802</v>
      </c>
      <c r="E445" s="96" t="s">
        <v>1635</v>
      </c>
      <c r="F445" s="96" t="s">
        <v>3804</v>
      </c>
      <c r="G445" s="99" t="s">
        <v>39</v>
      </c>
      <c r="H445" s="100" t="s">
        <v>89</v>
      </c>
      <c r="I445" s="101" t="s">
        <v>4108</v>
      </c>
      <c r="J445" s="102" t="str">
        <f>HYPERLINK("http://www.pivovyskov.cz","http://www.pivovyskov.cz")</f>
        <v>http://www.pivovyskov.cz</v>
      </c>
      <c r="K445" s="102" t="str">
        <f>HYPERLINK("https://www.facebook.com/vyskovskepivo","https://www.facebook.com/vyskovskepivo")</f>
        <v>https://www.facebook.com/vyskovskepivo</v>
      </c>
      <c r="L445" s="96" t="s">
        <v>3807</v>
      </c>
      <c r="M445" s="96"/>
      <c r="N445" s="96" t="s">
        <v>3809</v>
      </c>
      <c r="O445" s="102" t="s">
        <v>3810</v>
      </c>
      <c r="P445" s="96" t="s">
        <v>7907</v>
      </c>
      <c r="Q445" s="101">
        <v>49.275928899999997</v>
      </c>
      <c r="R445" s="101">
        <v>16.999093899999998</v>
      </c>
      <c r="S445" s="100" t="s">
        <v>7447</v>
      </c>
      <c r="T445" s="103" t="s">
        <v>325</v>
      </c>
      <c r="U445" s="103" t="s">
        <v>1635</v>
      </c>
      <c r="V445" s="103" t="s">
        <v>1635</v>
      </c>
      <c r="W445" s="103" t="s">
        <v>1635</v>
      </c>
    </row>
    <row r="446" spans="1:23" ht="15.75" customHeight="1">
      <c r="A446" s="96">
        <v>448</v>
      </c>
      <c r="B446" s="97" t="s">
        <v>27</v>
      </c>
      <c r="C446" s="96" t="s">
        <v>3812</v>
      </c>
      <c r="D446" s="96" t="s">
        <v>3813</v>
      </c>
      <c r="E446" s="96" t="s">
        <v>1346</v>
      </c>
      <c r="F446" s="96" t="s">
        <v>3814</v>
      </c>
      <c r="G446" s="99" t="s">
        <v>39</v>
      </c>
      <c r="H446" s="100" t="s">
        <v>40</v>
      </c>
      <c r="I446" s="101">
        <v>2017</v>
      </c>
      <c r="J446" s="102" t="str">
        <f>HYPERLINK("http://piseckypivovar.cz","http://piseckypivovar.cz")</f>
        <v>http://piseckypivovar.cz</v>
      </c>
      <c r="K446" s="113" t="str">
        <f>HYPERLINK("https://www.facebook.com/piseckypivovar","https://www.facebook.com/piseckypivovar")</f>
        <v>https://www.facebook.com/piseckypivovar</v>
      </c>
      <c r="L446" s="100" t="s">
        <v>3815</v>
      </c>
      <c r="M446" s="100"/>
      <c r="N446" s="98"/>
      <c r="O446" s="100"/>
      <c r="P446" s="100" t="s">
        <v>3816</v>
      </c>
      <c r="Q446" s="100">
        <v>49.308858600000001</v>
      </c>
      <c r="R446" s="100">
        <v>14.150296900000001</v>
      </c>
      <c r="S446" s="100" t="s">
        <v>7447</v>
      </c>
      <c r="T446" s="103" t="s">
        <v>369</v>
      </c>
      <c r="U446" s="103" t="s">
        <v>1346</v>
      </c>
      <c r="V446" s="103" t="s">
        <v>1346</v>
      </c>
      <c r="W446" s="103" t="s">
        <v>1346</v>
      </c>
    </row>
    <row r="447" spans="1:23" ht="15.75" customHeight="1">
      <c r="A447" s="96">
        <v>449</v>
      </c>
      <c r="B447" s="97" t="s">
        <v>27</v>
      </c>
      <c r="C447" s="96" t="s">
        <v>3817</v>
      </c>
      <c r="D447" s="96" t="s">
        <v>3818</v>
      </c>
      <c r="E447" s="96" t="s">
        <v>3819</v>
      </c>
      <c r="F447" s="96" t="s">
        <v>3820</v>
      </c>
      <c r="G447" s="99" t="s">
        <v>39</v>
      </c>
      <c r="H447" s="100" t="s">
        <v>60</v>
      </c>
      <c r="I447" s="101">
        <v>2017</v>
      </c>
      <c r="J447" s="102" t="str">
        <f>HYPERLINK("http://www.zenke.cz","http://www.zenke.cz")</f>
        <v>http://www.zenke.cz</v>
      </c>
      <c r="K447" s="100"/>
      <c r="L447" s="100" t="s">
        <v>3821</v>
      </c>
      <c r="M447" s="100"/>
      <c r="N447" s="98" t="s">
        <v>3817</v>
      </c>
      <c r="O447" s="113" t="s">
        <v>3822</v>
      </c>
      <c r="P447" s="100" t="s">
        <v>3823</v>
      </c>
      <c r="Q447" s="100">
        <v>49.559855599999999</v>
      </c>
      <c r="R447" s="100">
        <v>18.105336900000001</v>
      </c>
      <c r="S447" s="100" t="s">
        <v>52</v>
      </c>
      <c r="T447" s="103" t="s">
        <v>121</v>
      </c>
      <c r="U447" s="103" t="s">
        <v>1902</v>
      </c>
      <c r="V447" s="103" t="s">
        <v>1903</v>
      </c>
      <c r="W447" s="103" t="s">
        <v>3819</v>
      </c>
    </row>
    <row r="448" spans="1:23" ht="15.75" customHeight="1">
      <c r="A448" s="96">
        <v>450</v>
      </c>
      <c r="B448" s="97" t="s">
        <v>27</v>
      </c>
      <c r="C448" s="96" t="s">
        <v>3824</v>
      </c>
      <c r="D448" s="96" t="s">
        <v>3825</v>
      </c>
      <c r="E448" s="96" t="s">
        <v>3826</v>
      </c>
      <c r="F448" s="96" t="s">
        <v>3827</v>
      </c>
      <c r="G448" s="99" t="s">
        <v>39</v>
      </c>
      <c r="H448" s="100" t="s">
        <v>40</v>
      </c>
      <c r="I448" s="101">
        <v>2017</v>
      </c>
      <c r="J448" s="113" t="s">
        <v>3828</v>
      </c>
      <c r="K448" s="113" t="str">
        <f>HYPERLINK("https://www.facebook.com/pivovarchmelnice","https://www.facebook.com/pivovarchmelnice")</f>
        <v>https://www.facebook.com/pivovarchmelnice</v>
      </c>
      <c r="L448" s="100" t="s">
        <v>3829</v>
      </c>
      <c r="M448" s="100"/>
      <c r="N448" s="96" t="s">
        <v>3830</v>
      </c>
      <c r="O448" s="113" t="s">
        <v>3831</v>
      </c>
      <c r="P448" s="100" t="s">
        <v>3832</v>
      </c>
      <c r="Q448" s="100">
        <v>49.177071400000003</v>
      </c>
      <c r="R448" s="100">
        <v>17.5169572</v>
      </c>
      <c r="S448" s="100" t="s">
        <v>52</v>
      </c>
      <c r="T448" s="103" t="s">
        <v>97</v>
      </c>
      <c r="U448" s="103" t="s">
        <v>2156</v>
      </c>
      <c r="V448" s="103" t="s">
        <v>3124</v>
      </c>
      <c r="W448" s="103" t="s">
        <v>3826</v>
      </c>
    </row>
    <row r="449" spans="1:23" ht="15.75" customHeight="1">
      <c r="A449" s="96">
        <v>451</v>
      </c>
      <c r="B449" s="97" t="s">
        <v>27</v>
      </c>
      <c r="C449" s="96" t="s">
        <v>3833</v>
      </c>
      <c r="D449" s="96" t="s">
        <v>3834</v>
      </c>
      <c r="E449" s="96" t="s">
        <v>1163</v>
      </c>
      <c r="F449" s="96" t="s">
        <v>3835</v>
      </c>
      <c r="G449" s="99" t="s">
        <v>39</v>
      </c>
      <c r="H449" s="100" t="s">
        <v>40</v>
      </c>
      <c r="I449" s="101">
        <v>2017</v>
      </c>
      <c r="J449" s="102" t="str">
        <f>HYPERLINK("http://www.boudamama.cz","http://www.boudamama.cz")</f>
        <v>http://www.boudamama.cz</v>
      </c>
      <c r="K449" s="113" t="str">
        <f>HYPERLINK("https://www.facebook.com/peckypivovar","https://www.facebook.com/peckypivovar")</f>
        <v>https://www.facebook.com/peckypivovar</v>
      </c>
      <c r="L449" s="96" t="s">
        <v>3836</v>
      </c>
      <c r="M449" s="100"/>
      <c r="N449" s="98"/>
      <c r="O449" s="100"/>
      <c r="P449" s="100" t="s">
        <v>3837</v>
      </c>
      <c r="Q449" s="100">
        <v>50.708066700000003</v>
      </c>
      <c r="R449" s="100">
        <v>15.7325547</v>
      </c>
      <c r="S449" s="100" t="s">
        <v>7447</v>
      </c>
      <c r="T449" s="103" t="s">
        <v>207</v>
      </c>
      <c r="U449" s="103" t="s">
        <v>586</v>
      </c>
      <c r="V449" s="103" t="s">
        <v>586</v>
      </c>
      <c r="W449" s="103" t="s">
        <v>1163</v>
      </c>
    </row>
    <row r="450" spans="1:23" ht="15.75" customHeight="1">
      <c r="A450" s="96">
        <v>452</v>
      </c>
      <c r="B450" s="97" t="s">
        <v>27</v>
      </c>
      <c r="C450" s="96" t="s">
        <v>3838</v>
      </c>
      <c r="D450" s="96" t="s">
        <v>3839</v>
      </c>
      <c r="E450" s="96" t="s">
        <v>3840</v>
      </c>
      <c r="F450" s="96" t="s">
        <v>3841</v>
      </c>
      <c r="G450" s="99" t="s">
        <v>39</v>
      </c>
      <c r="H450" s="100" t="s">
        <v>40</v>
      </c>
      <c r="I450" s="101">
        <v>2017</v>
      </c>
      <c r="J450" s="102" t="str">
        <f>HYPERLINK("https://www.hotelpalacecinema.cz","https://www.hotelpalacecinema.cz")</f>
        <v>https://www.hotelpalacecinema.cz</v>
      </c>
      <c r="K450" s="102" t="str">
        <f>HYPERLINK("https://www.facebook.com/HotelPalaceCinema","https://www.facebook.com/HotelPalaceCinema")</f>
        <v>https://www.facebook.com/HotelPalaceCinema</v>
      </c>
      <c r="L450" s="98" t="s">
        <v>3842</v>
      </c>
      <c r="M450" s="96"/>
      <c r="N450" s="96" t="s">
        <v>3843</v>
      </c>
      <c r="O450" s="100"/>
      <c r="P450" s="96" t="s">
        <v>3844</v>
      </c>
      <c r="Q450" s="100">
        <v>49.924813899999997</v>
      </c>
      <c r="R450" s="100">
        <v>14.335364999999999</v>
      </c>
      <c r="S450" s="100" t="s">
        <v>7447</v>
      </c>
      <c r="T450" s="103" t="s">
        <v>71</v>
      </c>
      <c r="U450" s="103" t="s">
        <v>295</v>
      </c>
      <c r="V450" s="103" t="s">
        <v>296</v>
      </c>
      <c r="W450" s="103" t="s">
        <v>3840</v>
      </c>
    </row>
    <row r="451" spans="1:23" ht="15.75" customHeight="1">
      <c r="A451" s="96">
        <v>453</v>
      </c>
      <c r="B451" s="97" t="s">
        <v>27</v>
      </c>
      <c r="C451" s="96" t="s">
        <v>3845</v>
      </c>
      <c r="D451" s="96" t="s">
        <v>3846</v>
      </c>
      <c r="E451" s="96" t="s">
        <v>3847</v>
      </c>
      <c r="F451" s="96" t="s">
        <v>3848</v>
      </c>
      <c r="G451" s="99" t="s">
        <v>39</v>
      </c>
      <c r="H451" s="100" t="s">
        <v>69</v>
      </c>
      <c r="I451" s="101">
        <v>2017</v>
      </c>
      <c r="J451" s="113" t="s">
        <v>3849</v>
      </c>
      <c r="K451" s="113" t="str">
        <f>HYPERLINK("https://www.facebook.com/pivovarzstage","https://www.facebook.com/pivovarzstage")</f>
        <v>https://www.facebook.com/pivovarzstage</v>
      </c>
      <c r="L451" s="100" t="s">
        <v>3850</v>
      </c>
      <c r="M451" s="100"/>
      <c r="N451" s="100"/>
      <c r="O451" s="114" t="s">
        <v>4188</v>
      </c>
      <c r="P451" s="100" t="s">
        <v>3851</v>
      </c>
      <c r="Q451" s="100">
        <v>49.587938600000001</v>
      </c>
      <c r="R451" s="100">
        <v>17.346683299999999</v>
      </c>
      <c r="S451" s="100" t="s">
        <v>52</v>
      </c>
      <c r="T451" s="103" t="s">
        <v>312</v>
      </c>
      <c r="U451" s="103" t="s">
        <v>1034</v>
      </c>
      <c r="V451" s="103" t="s">
        <v>1034</v>
      </c>
      <c r="W451" s="103" t="s">
        <v>3847</v>
      </c>
    </row>
    <row r="452" spans="1:23" ht="15.75" customHeight="1">
      <c r="A452" s="96">
        <v>454</v>
      </c>
      <c r="B452" s="97" t="s">
        <v>27</v>
      </c>
      <c r="C452" s="96" t="s">
        <v>3852</v>
      </c>
      <c r="D452" s="96" t="s">
        <v>3853</v>
      </c>
      <c r="E452" s="96" t="s">
        <v>3854</v>
      </c>
      <c r="F452" s="96" t="s">
        <v>3855</v>
      </c>
      <c r="G452" s="99" t="s">
        <v>39</v>
      </c>
      <c r="H452" s="100" t="s">
        <v>69</v>
      </c>
      <c r="I452" s="101">
        <v>2017</v>
      </c>
      <c r="J452" s="102" t="str">
        <f>HYPERLINK("https://www.neratov.cz","https://www.neratov.cz")</f>
        <v>https://www.neratov.cz</v>
      </c>
      <c r="K452" s="102" t="str">
        <f>HYPERLINK("https://www.facebook.com/PivovarNeratov","https://www.facebook.com/PivovarNeratov")</f>
        <v>https://www.facebook.com/PivovarNeratov</v>
      </c>
      <c r="L452" s="96" t="s">
        <v>3856</v>
      </c>
      <c r="M452" s="100"/>
      <c r="N452" s="96" t="s">
        <v>3857</v>
      </c>
      <c r="O452" s="100"/>
      <c r="P452" s="100" t="s">
        <v>3858</v>
      </c>
      <c r="Q452" s="100">
        <v>50.214856699999999</v>
      </c>
      <c r="R452" s="100">
        <v>16.552937799999999</v>
      </c>
      <c r="S452" s="100" t="s">
        <v>7447</v>
      </c>
      <c r="T452" s="103" t="s">
        <v>207</v>
      </c>
      <c r="U452" s="103" t="s">
        <v>1450</v>
      </c>
      <c r="V452" s="103" t="s">
        <v>1450</v>
      </c>
      <c r="W452" s="103" t="s">
        <v>4215</v>
      </c>
    </row>
    <row r="453" spans="1:23" ht="15.75" customHeight="1">
      <c r="A453" s="96">
        <v>455</v>
      </c>
      <c r="B453" s="97" t="s">
        <v>99</v>
      </c>
      <c r="C453" s="100" t="s">
        <v>4218</v>
      </c>
      <c r="D453" s="100" t="s">
        <v>4218</v>
      </c>
      <c r="E453" s="96" t="s">
        <v>1778</v>
      </c>
      <c r="F453" s="96" t="s">
        <v>3861</v>
      </c>
      <c r="G453" s="99" t="s">
        <v>39</v>
      </c>
      <c r="H453" s="100" t="s">
        <v>103</v>
      </c>
      <c r="I453" s="101"/>
      <c r="J453" s="102" t="str">
        <f>HYPERLINK("http://www.hroch-liberec.cz","http://www.hroch-liberec.cz")</f>
        <v>http://www.hroch-liberec.cz</v>
      </c>
      <c r="K453" s="102" t="s">
        <v>3862</v>
      </c>
      <c r="L453" s="96" t="s">
        <v>3863</v>
      </c>
      <c r="M453" s="103" t="s">
        <v>4229</v>
      </c>
      <c r="N453" s="96" t="s">
        <v>3859</v>
      </c>
      <c r="O453" s="100"/>
      <c r="P453" s="96" t="s">
        <v>3864</v>
      </c>
      <c r="Q453" s="100">
        <v>50.770114399999997</v>
      </c>
      <c r="R453" s="100">
        <v>15.089685599999999</v>
      </c>
      <c r="S453" s="100" t="s">
        <v>7447</v>
      </c>
      <c r="T453" s="103" t="s">
        <v>67</v>
      </c>
      <c r="U453" s="103" t="s">
        <v>68</v>
      </c>
      <c r="V453" s="103" t="s">
        <v>68</v>
      </c>
      <c r="W453" s="103" t="s">
        <v>68</v>
      </c>
    </row>
    <row r="454" spans="1:23" ht="15.75" customHeight="1">
      <c r="A454" s="96">
        <v>456</v>
      </c>
      <c r="B454" s="97" t="s">
        <v>27</v>
      </c>
      <c r="C454" s="96" t="s">
        <v>3865</v>
      </c>
      <c r="D454" s="96" t="s">
        <v>3866</v>
      </c>
      <c r="E454" s="96" t="s">
        <v>2527</v>
      </c>
      <c r="F454" s="96" t="s">
        <v>3867</v>
      </c>
      <c r="G454" s="99" t="s">
        <v>39</v>
      </c>
      <c r="H454" s="100" t="s">
        <v>69</v>
      </c>
      <c r="I454" s="101">
        <v>2017</v>
      </c>
      <c r="J454" s="102" t="str">
        <f>HYPERLINK("http://www.pivovartrilobit.com","http://www.pivovartrilobit.com")</f>
        <v>http://www.pivovartrilobit.com</v>
      </c>
      <c r="K454" s="102" t="str">
        <f>HYPERLINK("https://www.facebook.com/pivovartrilobit","https://www.facebook.com/pivovartrilobit")</f>
        <v>https://www.facebook.com/pivovartrilobit</v>
      </c>
      <c r="L454" s="98" t="s">
        <v>3868</v>
      </c>
      <c r="M454" s="100"/>
      <c r="N454" s="96" t="s">
        <v>3865</v>
      </c>
      <c r="O454" s="100"/>
      <c r="P454" s="100" t="s">
        <v>3869</v>
      </c>
      <c r="Q454" s="100">
        <v>50.107541699999999</v>
      </c>
      <c r="R454" s="100">
        <v>14.476061100000001</v>
      </c>
      <c r="S454" s="100" t="s">
        <v>7447</v>
      </c>
      <c r="T454" s="103" t="s">
        <v>58</v>
      </c>
      <c r="U454" s="103" t="s">
        <v>58</v>
      </c>
      <c r="V454" s="103" t="s">
        <v>58</v>
      </c>
      <c r="W454" s="103" t="s">
        <v>59</v>
      </c>
    </row>
    <row r="455" spans="1:23" ht="15.75" customHeight="1">
      <c r="A455" s="96">
        <v>457</v>
      </c>
      <c r="B455" s="97" t="s">
        <v>27</v>
      </c>
      <c r="C455" s="100" t="s">
        <v>3870</v>
      </c>
      <c r="D455" s="100" t="s">
        <v>3871</v>
      </c>
      <c r="E455" s="98" t="s">
        <v>3872</v>
      </c>
      <c r="F455" s="96" t="s">
        <v>3873</v>
      </c>
      <c r="G455" s="99" t="s">
        <v>39</v>
      </c>
      <c r="H455" s="100" t="s">
        <v>60</v>
      </c>
      <c r="I455" s="101">
        <v>2017</v>
      </c>
      <c r="J455" s="113" t="str">
        <f>HYPERLINK("https://pivovarkail.cz","https://pivovarkail.cz")</f>
        <v>https://pivovarkail.cz</v>
      </c>
      <c r="K455" s="113" t="str">
        <f>HYPERLINK("https://www.facebook.com/pivovarkail","https://www.facebook.com/pivovarkail")</f>
        <v>https://www.facebook.com/pivovarkail</v>
      </c>
      <c r="L455" s="98" t="s">
        <v>3874</v>
      </c>
      <c r="M455" s="98" t="s">
        <v>3875</v>
      </c>
      <c r="N455" s="98" t="s">
        <v>3876</v>
      </c>
      <c r="O455" s="100"/>
      <c r="P455" s="100" t="s">
        <v>3877</v>
      </c>
      <c r="Q455" s="100">
        <v>50.001955799999998</v>
      </c>
      <c r="R455" s="100">
        <v>14.3947442</v>
      </c>
      <c r="S455" s="100" t="s">
        <v>7447</v>
      </c>
      <c r="T455" s="103" t="s">
        <v>58</v>
      </c>
      <c r="U455" s="103" t="s">
        <v>58</v>
      </c>
      <c r="V455" s="103" t="s">
        <v>58</v>
      </c>
      <c r="W455" s="103" t="s">
        <v>59</v>
      </c>
    </row>
    <row r="456" spans="1:23" ht="15.75" customHeight="1">
      <c r="A456" s="96">
        <v>458</v>
      </c>
      <c r="B456" s="97" t="s">
        <v>27</v>
      </c>
      <c r="C456" s="98" t="s">
        <v>3878</v>
      </c>
      <c r="D456" s="98" t="s">
        <v>3879</v>
      </c>
      <c r="E456" s="98" t="s">
        <v>3880</v>
      </c>
      <c r="F456" s="96" t="s">
        <v>3881</v>
      </c>
      <c r="G456" s="99" t="s">
        <v>39</v>
      </c>
      <c r="H456" s="100" t="s">
        <v>69</v>
      </c>
      <c r="I456" s="101">
        <v>2017</v>
      </c>
      <c r="J456" s="114" t="s">
        <v>4267</v>
      </c>
      <c r="K456" s="114" t="s">
        <v>4269</v>
      </c>
      <c r="L456" s="114" t="s">
        <v>4272</v>
      </c>
      <c r="M456" s="98"/>
      <c r="N456" s="98"/>
      <c r="O456" s="113" t="s">
        <v>3882</v>
      </c>
      <c r="P456" s="98" t="s">
        <v>3883</v>
      </c>
      <c r="Q456" s="115">
        <v>50.010496400000001</v>
      </c>
      <c r="R456" s="115">
        <v>15.2921069</v>
      </c>
      <c r="S456" s="100" t="s">
        <v>52</v>
      </c>
      <c r="T456" s="103" t="s">
        <v>71</v>
      </c>
      <c r="U456" s="103" t="s">
        <v>1838</v>
      </c>
      <c r="V456" s="103" t="s">
        <v>1838</v>
      </c>
      <c r="W456" s="103" t="s">
        <v>3880</v>
      </c>
    </row>
    <row r="457" spans="1:23" ht="15.75" customHeight="1">
      <c r="A457" s="96">
        <v>459</v>
      </c>
      <c r="B457" s="97" t="s">
        <v>27</v>
      </c>
      <c r="C457" s="98" t="s">
        <v>3884</v>
      </c>
      <c r="D457" s="98" t="s">
        <v>3885</v>
      </c>
      <c r="E457" s="98" t="s">
        <v>3886</v>
      </c>
      <c r="F457" s="98" t="s">
        <v>3887</v>
      </c>
      <c r="G457" s="99" t="s">
        <v>39</v>
      </c>
      <c r="H457" s="100" t="s">
        <v>69</v>
      </c>
      <c r="I457" s="101">
        <v>2017</v>
      </c>
      <c r="J457" s="116" t="s">
        <v>3888</v>
      </c>
      <c r="K457" s="116" t="s">
        <v>3889</v>
      </c>
      <c r="L457" s="98" t="s">
        <v>3890</v>
      </c>
      <c r="M457" s="116" t="s">
        <v>3891</v>
      </c>
      <c r="N457" s="98" t="s">
        <v>3892</v>
      </c>
      <c r="O457" s="113" t="s">
        <v>3893</v>
      </c>
      <c r="P457" s="98" t="s">
        <v>3894</v>
      </c>
      <c r="Q457" s="115">
        <v>50.725210799999999</v>
      </c>
      <c r="R457" s="115">
        <v>15.377621100000001</v>
      </c>
      <c r="S457" s="100" t="s">
        <v>7447</v>
      </c>
      <c r="T457" s="103" t="s">
        <v>67</v>
      </c>
      <c r="U457" s="103" t="s">
        <v>1240</v>
      </c>
      <c r="V457" s="103" t="s">
        <v>4291</v>
      </c>
      <c r="W457" s="103" t="s">
        <v>3886</v>
      </c>
    </row>
    <row r="458" spans="1:23" ht="15.75" customHeight="1">
      <c r="A458" s="96">
        <v>460</v>
      </c>
      <c r="B458" s="97" t="s">
        <v>27</v>
      </c>
      <c r="C458" s="100" t="s">
        <v>3895</v>
      </c>
      <c r="D458" s="100" t="s">
        <v>3896</v>
      </c>
      <c r="E458" s="100" t="s">
        <v>3897</v>
      </c>
      <c r="F458" s="96" t="s">
        <v>3898</v>
      </c>
      <c r="G458" s="99" t="s">
        <v>39</v>
      </c>
      <c r="H458" s="100" t="s">
        <v>69</v>
      </c>
      <c r="I458" s="101">
        <v>2018</v>
      </c>
      <c r="J458" s="113" t="str">
        <f>HYPERLINK("https://www.pivovartor.cz","https://www.pivovartor.cz")</f>
        <v>https://www.pivovartor.cz</v>
      </c>
      <c r="K458" s="113" t="s">
        <v>3899</v>
      </c>
      <c r="L458" s="100" t="s">
        <v>3900</v>
      </c>
      <c r="M458" s="100"/>
      <c r="N458" s="100"/>
      <c r="O458" s="100"/>
      <c r="P458" s="100" t="s">
        <v>3901</v>
      </c>
      <c r="Q458" s="100">
        <v>48.795080800000001</v>
      </c>
      <c r="R458" s="100">
        <v>16.008220600000001</v>
      </c>
      <c r="S458" s="100" t="s">
        <v>7447</v>
      </c>
      <c r="T458" s="103" t="s">
        <v>325</v>
      </c>
      <c r="U458" s="103" t="s">
        <v>555</v>
      </c>
      <c r="V458" s="103" t="s">
        <v>555</v>
      </c>
      <c r="W458" s="103" t="s">
        <v>3897</v>
      </c>
    </row>
    <row r="459" spans="1:23" ht="15.75" customHeight="1">
      <c r="A459" s="96">
        <v>461</v>
      </c>
      <c r="B459" s="97" t="s">
        <v>27</v>
      </c>
      <c r="C459" s="96" t="s">
        <v>3902</v>
      </c>
      <c r="D459" s="96" t="s">
        <v>3903</v>
      </c>
      <c r="E459" s="100" t="s">
        <v>1077</v>
      </c>
      <c r="F459" s="96" t="s">
        <v>3904</v>
      </c>
      <c r="G459" s="99" t="s">
        <v>39</v>
      </c>
      <c r="H459" s="100" t="s">
        <v>40</v>
      </c>
      <c r="I459" s="101">
        <v>2018</v>
      </c>
      <c r="J459" s="102" t="str">
        <f>HYPERLINK("http://www.ricanskypivovar.cz","http://www.ricanskypivovar.cz")</f>
        <v>http://www.ricanskypivovar.cz</v>
      </c>
      <c r="K459" s="113" t="str">
        <f>HYPERLINK("https://www.facebook.com/ricanskypivovar/","https://www.facebook.com/ricanskypivovar")</f>
        <v>https://www.facebook.com/ricanskypivovar</v>
      </c>
      <c r="L459" s="96" t="s">
        <v>3905</v>
      </c>
      <c r="M459" s="100"/>
      <c r="N459" s="98" t="s">
        <v>3906</v>
      </c>
      <c r="O459" s="113" t="s">
        <v>3907</v>
      </c>
      <c r="P459" s="100" t="s">
        <v>3908</v>
      </c>
      <c r="Q459" s="100">
        <v>49.991780599999998</v>
      </c>
      <c r="R459" s="100">
        <v>14.660500600000001</v>
      </c>
      <c r="S459" s="100" t="s">
        <v>52</v>
      </c>
      <c r="T459" s="103" t="s">
        <v>71</v>
      </c>
      <c r="U459" s="103" t="s">
        <v>1075</v>
      </c>
      <c r="V459" s="103" t="s">
        <v>1077</v>
      </c>
      <c r="W459" s="103" t="s">
        <v>1077</v>
      </c>
    </row>
    <row r="460" spans="1:23" ht="15.75" customHeight="1">
      <c r="A460" s="96">
        <v>462</v>
      </c>
      <c r="B460" s="97" t="s">
        <v>27</v>
      </c>
      <c r="C460" s="98" t="s">
        <v>3909</v>
      </c>
      <c r="D460" s="96" t="s">
        <v>3910</v>
      </c>
      <c r="E460" s="98" t="s">
        <v>3911</v>
      </c>
      <c r="F460" s="98" t="s">
        <v>3912</v>
      </c>
      <c r="G460" s="99" t="s">
        <v>39</v>
      </c>
      <c r="H460" s="100" t="s">
        <v>40</v>
      </c>
      <c r="I460" s="98">
        <v>2018</v>
      </c>
      <c r="J460" s="114" t="s">
        <v>4319</v>
      </c>
      <c r="K460" s="114" t="s">
        <v>4322</v>
      </c>
      <c r="L460" s="98" t="s">
        <v>3914</v>
      </c>
      <c r="M460" s="100"/>
      <c r="N460" s="98"/>
      <c r="O460" s="114" t="s">
        <v>4327</v>
      </c>
      <c r="P460" s="98" t="s">
        <v>3915</v>
      </c>
      <c r="Q460" s="96">
        <v>49.123049700000003</v>
      </c>
      <c r="R460" s="98">
        <v>17.539803899999999</v>
      </c>
      <c r="S460" s="100" t="s">
        <v>52</v>
      </c>
      <c r="T460" s="103" t="s">
        <v>97</v>
      </c>
      <c r="U460" s="103" t="s">
        <v>98</v>
      </c>
      <c r="V460" s="103" t="s">
        <v>98</v>
      </c>
      <c r="W460" s="103" t="s">
        <v>3911</v>
      </c>
    </row>
    <row r="461" spans="1:23" ht="15.75" customHeight="1">
      <c r="A461" s="96">
        <v>463</v>
      </c>
      <c r="B461" s="97" t="s">
        <v>27</v>
      </c>
      <c r="C461" s="96" t="s">
        <v>3916</v>
      </c>
      <c r="D461" s="96" t="s">
        <v>3917</v>
      </c>
      <c r="E461" s="117" t="s">
        <v>3918</v>
      </c>
      <c r="F461" s="98" t="s">
        <v>3919</v>
      </c>
      <c r="G461" s="99" t="s">
        <v>39</v>
      </c>
      <c r="H461" s="100" t="s">
        <v>40</v>
      </c>
      <c r="I461" s="98">
        <v>2018</v>
      </c>
      <c r="J461" s="113" t="s">
        <v>3921</v>
      </c>
      <c r="K461" s="114" t="str">
        <f>HYPERLINK("https://www.facebook.com/Pivovar-Bechyně-Keras-572389763127954","https://www.facebook.com/Pivovar-Bechyně-Keras-572389763127954")</f>
        <v>https://www.facebook.com/Pivovar-Bechyně-Keras-572389763127954</v>
      </c>
      <c r="L461" s="98" t="s">
        <v>3923</v>
      </c>
      <c r="M461" s="100"/>
      <c r="N461" s="98"/>
      <c r="O461" s="100"/>
      <c r="P461" s="96" t="s">
        <v>3924</v>
      </c>
      <c r="Q461" s="96">
        <v>49.299760300000003</v>
      </c>
      <c r="R461" s="98">
        <v>14.463631100000001</v>
      </c>
      <c r="S461" s="100" t="s">
        <v>7447</v>
      </c>
      <c r="T461" s="103" t="s">
        <v>369</v>
      </c>
      <c r="U461" s="103" t="s">
        <v>674</v>
      </c>
      <c r="V461" s="103" t="s">
        <v>674</v>
      </c>
      <c r="W461" s="103" t="s">
        <v>3918</v>
      </c>
    </row>
    <row r="462" spans="1:23" ht="15.75" customHeight="1">
      <c r="A462" s="96">
        <v>464</v>
      </c>
      <c r="B462" s="97" t="s">
        <v>27</v>
      </c>
      <c r="C462" s="96" t="s">
        <v>3925</v>
      </c>
      <c r="D462" s="98" t="s">
        <v>3926</v>
      </c>
      <c r="E462" s="100" t="s">
        <v>843</v>
      </c>
      <c r="F462" s="98" t="s">
        <v>3927</v>
      </c>
      <c r="G462" s="99" t="s">
        <v>39</v>
      </c>
      <c r="H462" s="100" t="s">
        <v>60</v>
      </c>
      <c r="I462" s="98">
        <v>2018</v>
      </c>
      <c r="J462" s="113" t="s">
        <v>3928</v>
      </c>
      <c r="K462" s="113" t="str">
        <f>HYPERLINK("https://www.facebook.com/PivovarNomad","https://www.facebook.com/PivovarNomad")</f>
        <v>https://www.facebook.com/PivovarNomad</v>
      </c>
      <c r="L462" s="98" t="s">
        <v>3930</v>
      </c>
      <c r="M462" s="100"/>
      <c r="N462" s="98"/>
      <c r="O462" s="113" t="s">
        <v>3931</v>
      </c>
      <c r="P462" s="98" t="s">
        <v>3932</v>
      </c>
      <c r="Q462" s="98">
        <v>50.778152800000001</v>
      </c>
      <c r="R462" s="98">
        <v>14.2118792</v>
      </c>
      <c r="S462" s="100" t="s">
        <v>52</v>
      </c>
      <c r="T462" s="103" t="s">
        <v>353</v>
      </c>
      <c r="U462" s="103" t="s">
        <v>843</v>
      </c>
      <c r="V462" s="103" t="s">
        <v>843</v>
      </c>
      <c r="W462" s="103" t="s">
        <v>843</v>
      </c>
    </row>
    <row r="463" spans="1:23" ht="15.75" customHeight="1">
      <c r="A463" s="96">
        <v>465</v>
      </c>
      <c r="B463" s="97" t="s">
        <v>27</v>
      </c>
      <c r="C463" s="96" t="s">
        <v>3933</v>
      </c>
      <c r="D463" s="98" t="s">
        <v>3934</v>
      </c>
      <c r="E463" s="96" t="s">
        <v>3935</v>
      </c>
      <c r="F463" s="98" t="s">
        <v>3936</v>
      </c>
      <c r="G463" s="99" t="s">
        <v>39</v>
      </c>
      <c r="H463" s="100" t="s">
        <v>40</v>
      </c>
      <c r="I463" s="98">
        <v>2018</v>
      </c>
      <c r="J463" s="102" t="s">
        <v>3937</v>
      </c>
      <c r="K463" s="113" t="s">
        <v>3938</v>
      </c>
      <c r="L463" s="98" t="s">
        <v>3939</v>
      </c>
      <c r="M463" s="100"/>
      <c r="N463" s="103" t="s">
        <v>4378</v>
      </c>
      <c r="O463" s="113" t="s">
        <v>3941</v>
      </c>
      <c r="P463" s="96" t="s">
        <v>3942</v>
      </c>
      <c r="Q463" s="96">
        <v>49.794158600000003</v>
      </c>
      <c r="R463" s="98">
        <v>18.253038100000001</v>
      </c>
      <c r="S463" s="100" t="s">
        <v>52</v>
      </c>
      <c r="T463" s="103" t="s">
        <v>121</v>
      </c>
      <c r="U463" s="103" t="s">
        <v>122</v>
      </c>
      <c r="V463" s="103" t="s">
        <v>123</v>
      </c>
      <c r="W463" s="103" t="s">
        <v>123</v>
      </c>
    </row>
    <row r="464" spans="1:23" ht="15.75" customHeight="1">
      <c r="A464" s="96">
        <v>466</v>
      </c>
      <c r="B464" s="97" t="s">
        <v>27</v>
      </c>
      <c r="C464" s="100" t="s">
        <v>3950</v>
      </c>
      <c r="D464" s="103" t="s">
        <v>4384</v>
      </c>
      <c r="E464" s="98" t="s">
        <v>3945</v>
      </c>
      <c r="F464" s="98" t="s">
        <v>3946</v>
      </c>
      <c r="G464" s="99" t="s">
        <v>39</v>
      </c>
      <c r="H464" s="100" t="s">
        <v>40</v>
      </c>
      <c r="I464" s="101">
        <v>2018</v>
      </c>
      <c r="J464" s="113" t="s">
        <v>3947</v>
      </c>
      <c r="K464" s="114" t="s">
        <v>4391</v>
      </c>
      <c r="L464" s="114" t="s">
        <v>4392</v>
      </c>
      <c r="M464" s="100"/>
      <c r="N464" s="98" t="s">
        <v>3950</v>
      </c>
      <c r="O464" s="100"/>
      <c r="P464" s="98" t="s">
        <v>3951</v>
      </c>
      <c r="Q464" s="98">
        <v>50.758636699999997</v>
      </c>
      <c r="R464" s="98">
        <v>15.0439031</v>
      </c>
      <c r="S464" s="100" t="s">
        <v>52</v>
      </c>
      <c r="T464" s="103" t="s">
        <v>67</v>
      </c>
      <c r="U464" s="103" t="s">
        <v>68</v>
      </c>
      <c r="V464" s="103" t="s">
        <v>68</v>
      </c>
      <c r="W464" s="103" t="s">
        <v>68</v>
      </c>
    </row>
    <row r="465" spans="1:23" ht="15.75" customHeight="1">
      <c r="A465" s="96">
        <v>467</v>
      </c>
      <c r="B465" s="97" t="s">
        <v>27</v>
      </c>
      <c r="C465" s="98" t="s">
        <v>3952</v>
      </c>
      <c r="D465" s="98" t="s">
        <v>3953</v>
      </c>
      <c r="E465" s="98" t="s">
        <v>3954</v>
      </c>
      <c r="F465" s="98" t="s">
        <v>3955</v>
      </c>
      <c r="G465" s="99" t="s">
        <v>39</v>
      </c>
      <c r="H465" s="100" t="s">
        <v>69</v>
      </c>
      <c r="I465" s="101">
        <v>2018</v>
      </c>
      <c r="J465" s="113" t="s">
        <v>3956</v>
      </c>
      <c r="K465" s="114" t="s">
        <v>4406</v>
      </c>
      <c r="L465" s="98" t="s">
        <v>3957</v>
      </c>
      <c r="M465" s="100"/>
      <c r="N465" s="98" t="s">
        <v>3958</v>
      </c>
      <c r="O465" s="113" t="s">
        <v>3959</v>
      </c>
      <c r="P465" s="98" t="s">
        <v>3960</v>
      </c>
      <c r="Q465" s="98">
        <v>50.376075</v>
      </c>
      <c r="R465" s="98">
        <v>15.220465300000001</v>
      </c>
      <c r="S465" s="100" t="s">
        <v>52</v>
      </c>
      <c r="T465" s="103" t="s">
        <v>207</v>
      </c>
      <c r="U465" s="103" t="s">
        <v>435</v>
      </c>
      <c r="V465" s="103" t="s">
        <v>435</v>
      </c>
      <c r="W465" s="103" t="s">
        <v>3954</v>
      </c>
    </row>
    <row r="466" spans="1:23" ht="15.75" customHeight="1">
      <c r="A466" s="96">
        <v>468</v>
      </c>
      <c r="B466" s="97" t="s">
        <v>27</v>
      </c>
      <c r="C466" s="98" t="s">
        <v>3961</v>
      </c>
      <c r="D466" s="98" t="s">
        <v>3962</v>
      </c>
      <c r="E466" s="98" t="s">
        <v>3963</v>
      </c>
      <c r="F466" s="98" t="s">
        <v>3964</v>
      </c>
      <c r="G466" s="99" t="s">
        <v>39</v>
      </c>
      <c r="H466" s="100" t="s">
        <v>40</v>
      </c>
      <c r="I466" s="101">
        <v>2018</v>
      </c>
      <c r="J466" s="113" t="s">
        <v>3965</v>
      </c>
      <c r="K466" s="113" t="s">
        <v>3966</v>
      </c>
      <c r="L466" s="98" t="s">
        <v>3967</v>
      </c>
      <c r="M466" s="100"/>
      <c r="N466" s="98" t="s">
        <v>3968</v>
      </c>
      <c r="O466" s="100"/>
      <c r="P466" s="98" t="s">
        <v>3969</v>
      </c>
      <c r="Q466" s="98">
        <v>50.033285800000002</v>
      </c>
      <c r="R466" s="98">
        <v>14.312531099999999</v>
      </c>
      <c r="S466" s="100" t="s">
        <v>7447</v>
      </c>
      <c r="T466" s="103" t="s">
        <v>58</v>
      </c>
      <c r="U466" s="103" t="s">
        <v>58</v>
      </c>
      <c r="V466" s="103" t="s">
        <v>58</v>
      </c>
      <c r="W466" s="103" t="s">
        <v>59</v>
      </c>
    </row>
    <row r="467" spans="1:23" ht="15.75" customHeight="1">
      <c r="A467" s="96">
        <v>469</v>
      </c>
      <c r="B467" s="97" t="s">
        <v>27</v>
      </c>
      <c r="C467" s="98" t="s">
        <v>3970</v>
      </c>
      <c r="D467" s="98" t="s">
        <v>3971</v>
      </c>
      <c r="E467" s="98" t="s">
        <v>3972</v>
      </c>
      <c r="F467" s="98" t="s">
        <v>3973</v>
      </c>
      <c r="G467" s="99" t="s">
        <v>39</v>
      </c>
      <c r="H467" s="100" t="s">
        <v>40</v>
      </c>
      <c r="I467" s="98">
        <v>2018</v>
      </c>
      <c r="J467" s="113" t="s">
        <v>3974</v>
      </c>
      <c r="K467" s="113" t="s">
        <v>3975</v>
      </c>
      <c r="L467" s="98" t="s">
        <v>3976</v>
      </c>
      <c r="M467" s="100"/>
      <c r="N467" s="98" t="s">
        <v>3970</v>
      </c>
      <c r="O467" s="114" t="s">
        <v>4433</v>
      </c>
      <c r="P467" s="98" t="s">
        <v>3977</v>
      </c>
      <c r="Q467" s="98">
        <v>50.127121899999999</v>
      </c>
      <c r="R467" s="98">
        <v>14.4703728</v>
      </c>
      <c r="S467" s="100" t="s">
        <v>7447</v>
      </c>
      <c r="T467" s="103" t="s">
        <v>58</v>
      </c>
      <c r="U467" s="103" t="s">
        <v>58</v>
      </c>
      <c r="V467" s="103" t="s">
        <v>58</v>
      </c>
      <c r="W467" s="103" t="s">
        <v>59</v>
      </c>
    </row>
    <row r="468" spans="1:23" ht="15.75" customHeight="1">
      <c r="A468" s="96">
        <v>470</v>
      </c>
      <c r="B468" s="97" t="s">
        <v>27</v>
      </c>
      <c r="C468" s="96" t="s">
        <v>3547</v>
      </c>
      <c r="D468" s="96" t="s">
        <v>3548</v>
      </c>
      <c r="E468" s="96" t="s">
        <v>819</v>
      </c>
      <c r="F468" s="96" t="s">
        <v>2460</v>
      </c>
      <c r="G468" s="99" t="s">
        <v>39</v>
      </c>
      <c r="H468" s="100" t="s">
        <v>69</v>
      </c>
      <c r="I468" s="101">
        <v>2018</v>
      </c>
      <c r="J468" s="102" t="str">
        <f>HYPERLINK("http://www.krikloun.cz","http://www.krikloun.cz")</f>
        <v>http://www.krikloun.cz</v>
      </c>
      <c r="K468" s="102" t="s">
        <v>3978</v>
      </c>
      <c r="L468" s="96" t="s">
        <v>3550</v>
      </c>
      <c r="M468" s="96" t="s">
        <v>3979</v>
      </c>
      <c r="N468" s="96" t="s">
        <v>3547</v>
      </c>
      <c r="O468" s="102" t="s">
        <v>3551</v>
      </c>
      <c r="P468" s="96" t="s">
        <v>3980</v>
      </c>
      <c r="Q468" s="101">
        <v>48.843273099999998</v>
      </c>
      <c r="R468" s="101">
        <v>17.125133600000002</v>
      </c>
      <c r="S468" s="100" t="s">
        <v>7447</v>
      </c>
      <c r="T468" s="103" t="s">
        <v>325</v>
      </c>
      <c r="U468" s="103" t="s">
        <v>819</v>
      </c>
      <c r="V468" s="103" t="s">
        <v>819</v>
      </c>
      <c r="W468" s="103" t="s">
        <v>819</v>
      </c>
    </row>
    <row r="469" spans="1:23" ht="15.75" customHeight="1">
      <c r="A469" s="96">
        <v>471</v>
      </c>
      <c r="B469" s="97" t="s">
        <v>27</v>
      </c>
      <c r="C469" s="98" t="s">
        <v>3981</v>
      </c>
      <c r="D469" s="98" t="s">
        <v>3982</v>
      </c>
      <c r="E469" s="98" t="s">
        <v>268</v>
      </c>
      <c r="F469" s="98" t="s">
        <v>3983</v>
      </c>
      <c r="G469" s="99" t="s">
        <v>39</v>
      </c>
      <c r="H469" s="100" t="s">
        <v>40</v>
      </c>
      <c r="I469" s="98">
        <v>2018</v>
      </c>
      <c r="J469" s="113" t="s">
        <v>3984</v>
      </c>
      <c r="K469" s="113" t="s">
        <v>3985</v>
      </c>
      <c r="L469" s="98" t="s">
        <v>3986</v>
      </c>
      <c r="M469" s="98" t="s">
        <v>3875</v>
      </c>
      <c r="N469" s="98" t="s">
        <v>3987</v>
      </c>
      <c r="O469" s="100"/>
      <c r="P469" s="98" t="s">
        <v>3988</v>
      </c>
      <c r="Q469" s="98">
        <v>50.0787111</v>
      </c>
      <c r="R469" s="98">
        <v>14.3567131</v>
      </c>
      <c r="S469" s="100" t="s">
        <v>7447</v>
      </c>
      <c r="T469" s="103" t="s">
        <v>58</v>
      </c>
      <c r="U469" s="103" t="s">
        <v>58</v>
      </c>
      <c r="V469" s="103" t="s">
        <v>58</v>
      </c>
      <c r="W469" s="103" t="s">
        <v>59</v>
      </c>
    </row>
    <row r="470" spans="1:23" ht="15.75" customHeight="1">
      <c r="A470" s="96">
        <v>472</v>
      </c>
      <c r="B470" s="97" t="s">
        <v>27</v>
      </c>
      <c r="C470" s="98" t="s">
        <v>3989</v>
      </c>
      <c r="D470" s="98" t="s">
        <v>3990</v>
      </c>
      <c r="E470" s="98" t="s">
        <v>1140</v>
      </c>
      <c r="F470" s="98" t="s">
        <v>3991</v>
      </c>
      <c r="G470" s="99" t="s">
        <v>39</v>
      </c>
      <c r="H470" s="100" t="s">
        <v>40</v>
      </c>
      <c r="I470" s="98">
        <v>2018</v>
      </c>
      <c r="J470" s="113" t="s">
        <v>3992</v>
      </c>
      <c r="K470" s="113" t="s">
        <v>3993</v>
      </c>
      <c r="L470" s="98" t="s">
        <v>3994</v>
      </c>
      <c r="M470" s="100"/>
      <c r="N470" s="98" t="s">
        <v>3995</v>
      </c>
      <c r="O470" s="100"/>
      <c r="P470" s="98" t="s">
        <v>3996</v>
      </c>
      <c r="Q470" s="98">
        <v>49.753208299999997</v>
      </c>
      <c r="R470" s="98">
        <v>13.379785</v>
      </c>
      <c r="S470" s="100" t="s">
        <v>7447</v>
      </c>
      <c r="T470" s="103" t="s">
        <v>217</v>
      </c>
      <c r="U470" s="103" t="s">
        <v>1139</v>
      </c>
      <c r="V470" s="103" t="s">
        <v>1140</v>
      </c>
      <c r="W470" s="103" t="s">
        <v>1140</v>
      </c>
    </row>
    <row r="471" spans="1:23" ht="15.75" customHeight="1">
      <c r="A471" s="96">
        <v>473</v>
      </c>
      <c r="B471" s="97" t="s">
        <v>27</v>
      </c>
      <c r="C471" s="98" t="s">
        <v>3997</v>
      </c>
      <c r="D471" s="98" t="s">
        <v>3998</v>
      </c>
      <c r="E471" s="98" t="s">
        <v>3075</v>
      </c>
      <c r="F471" s="98" t="s">
        <v>3999</v>
      </c>
      <c r="G471" s="99" t="s">
        <v>39</v>
      </c>
      <c r="H471" s="100" t="s">
        <v>40</v>
      </c>
      <c r="I471" s="98">
        <v>2018</v>
      </c>
      <c r="J471" s="113" t="s">
        <v>4000</v>
      </c>
      <c r="K471" s="113" t="s">
        <v>4001</v>
      </c>
      <c r="L471" s="98" t="s">
        <v>4002</v>
      </c>
      <c r="M471" s="100"/>
      <c r="N471" s="98" t="s">
        <v>4003</v>
      </c>
      <c r="O471" s="114" t="s">
        <v>4490</v>
      </c>
      <c r="P471" s="98" t="s">
        <v>4004</v>
      </c>
      <c r="Q471" s="98">
        <v>50.019994400000002</v>
      </c>
      <c r="R471" s="98">
        <v>14.499320300000001</v>
      </c>
      <c r="S471" s="100" t="s">
        <v>52</v>
      </c>
      <c r="T471" s="103" t="s">
        <v>58</v>
      </c>
      <c r="U471" s="103" t="s">
        <v>58</v>
      </c>
      <c r="V471" s="103" t="s">
        <v>58</v>
      </c>
      <c r="W471" s="103" t="s">
        <v>59</v>
      </c>
    </row>
    <row r="472" spans="1:23" ht="15.75" customHeight="1">
      <c r="A472" s="96">
        <v>474</v>
      </c>
      <c r="B472" s="97" t="s">
        <v>27</v>
      </c>
      <c r="C472" s="98" t="s">
        <v>4005</v>
      </c>
      <c r="D472" s="98" t="s">
        <v>4006</v>
      </c>
      <c r="E472" s="98" t="s">
        <v>4007</v>
      </c>
      <c r="F472" s="98" t="s">
        <v>4008</v>
      </c>
      <c r="G472" s="99" t="s">
        <v>39</v>
      </c>
      <c r="H472" s="100" t="s">
        <v>40</v>
      </c>
      <c r="I472" s="98">
        <v>2018</v>
      </c>
      <c r="J472" s="100"/>
      <c r="K472" s="114" t="s">
        <v>4495</v>
      </c>
      <c r="L472" s="103" t="s">
        <v>4497</v>
      </c>
      <c r="M472" s="100"/>
      <c r="N472" s="98" t="s">
        <v>4010</v>
      </c>
      <c r="O472" s="100"/>
      <c r="P472" s="98" t="s">
        <v>4011</v>
      </c>
      <c r="Q472" s="98">
        <v>48.741906100000001</v>
      </c>
      <c r="R472" s="98">
        <v>16.7585178</v>
      </c>
      <c r="S472" s="100" t="s">
        <v>7447</v>
      </c>
      <c r="T472" s="103" t="s">
        <v>325</v>
      </c>
      <c r="U472" s="103" t="s">
        <v>256</v>
      </c>
      <c r="V472" s="103" t="s">
        <v>256</v>
      </c>
      <c r="W472" s="103" t="s">
        <v>4007</v>
      </c>
    </row>
    <row r="473" spans="1:23" ht="15.75" customHeight="1">
      <c r="A473" s="96">
        <v>475</v>
      </c>
      <c r="B473" s="97" t="s">
        <v>27</v>
      </c>
      <c r="C473" s="96" t="s">
        <v>4012</v>
      </c>
      <c r="D473" s="98" t="s">
        <v>4013</v>
      </c>
      <c r="E473" s="96" t="s">
        <v>4014</v>
      </c>
      <c r="F473" s="98" t="s">
        <v>4015</v>
      </c>
      <c r="G473" s="99" t="s">
        <v>39</v>
      </c>
      <c r="H473" s="100" t="s">
        <v>40</v>
      </c>
      <c r="I473" s="98">
        <v>2018</v>
      </c>
      <c r="J473" s="102" t="s">
        <v>4016</v>
      </c>
      <c r="K473" s="102" t="str">
        <f>HYPERLINK("https://www.facebook.com/kronl","https://www.facebook.com/kronl")</f>
        <v>https://www.facebook.com/kronl</v>
      </c>
      <c r="L473" s="98" t="s">
        <v>4017</v>
      </c>
      <c r="M473" s="100"/>
      <c r="N473" s="98" t="s">
        <v>4012</v>
      </c>
      <c r="O473" s="100"/>
      <c r="P473" s="96" t="s">
        <v>4018</v>
      </c>
      <c r="Q473" s="96">
        <v>49.958019999999998</v>
      </c>
      <c r="R473" s="98">
        <v>12.7021</v>
      </c>
      <c r="S473" s="100" t="s">
        <v>7447</v>
      </c>
      <c r="T473" s="103" t="s">
        <v>573</v>
      </c>
      <c r="U473" s="103" t="s">
        <v>2558</v>
      </c>
      <c r="V473" s="103" t="s">
        <v>4014</v>
      </c>
      <c r="W473" s="103" t="s">
        <v>4014</v>
      </c>
    </row>
    <row r="474" spans="1:23" ht="15.75" customHeight="1">
      <c r="A474" s="96">
        <v>476</v>
      </c>
      <c r="B474" s="97" t="s">
        <v>27</v>
      </c>
      <c r="C474" s="96" t="s">
        <v>4019</v>
      </c>
      <c r="D474" s="98" t="s">
        <v>4020</v>
      </c>
      <c r="E474" s="98" t="s">
        <v>3370</v>
      </c>
      <c r="F474" s="98" t="s">
        <v>4021</v>
      </c>
      <c r="G474" s="99" t="s">
        <v>39</v>
      </c>
      <c r="H474" s="100" t="s">
        <v>40</v>
      </c>
      <c r="I474" s="98">
        <v>2018</v>
      </c>
      <c r="J474" s="113" t="s">
        <v>4022</v>
      </c>
      <c r="K474" s="113" t="str">
        <f>HYPERLINK("https://www.facebook.com/Měšťanský-pivovar-Kujebák-427720934350949","https://www.facebook.com/Měšťanský-pivovar-Kujebák-427720934350949")</f>
        <v>https://www.facebook.com/Měšťanský-pivovar-Kujebák-427720934350949</v>
      </c>
      <c r="L474" s="98" t="s">
        <v>4023</v>
      </c>
      <c r="M474" s="100"/>
      <c r="N474" s="98" t="s">
        <v>4024</v>
      </c>
      <c r="O474" s="114" t="s">
        <v>4537</v>
      </c>
      <c r="P474" s="98" t="s">
        <v>4025</v>
      </c>
      <c r="Q474" s="98">
        <v>49.952380599999998</v>
      </c>
      <c r="R474" s="98">
        <v>16.156306900000001</v>
      </c>
      <c r="S474" s="100" t="s">
        <v>52</v>
      </c>
      <c r="T474" s="103" t="s">
        <v>483</v>
      </c>
      <c r="U474" s="103" t="s">
        <v>484</v>
      </c>
      <c r="V474" s="103" t="s">
        <v>3370</v>
      </c>
      <c r="W474" s="103" t="s">
        <v>3370</v>
      </c>
    </row>
    <row r="475" spans="1:23" ht="15.75" customHeight="1">
      <c r="A475" s="96">
        <v>477</v>
      </c>
      <c r="B475" s="97" t="s">
        <v>27</v>
      </c>
      <c r="C475" s="98" t="s">
        <v>4026</v>
      </c>
      <c r="D475" s="98" t="s">
        <v>4027</v>
      </c>
      <c r="E475" s="98" t="s">
        <v>739</v>
      </c>
      <c r="F475" s="98" t="s">
        <v>4028</v>
      </c>
      <c r="G475" s="99" t="s">
        <v>39</v>
      </c>
      <c r="H475" s="100" t="s">
        <v>69</v>
      </c>
      <c r="I475" s="98">
        <v>2018</v>
      </c>
      <c r="J475" s="113" t="s">
        <v>4029</v>
      </c>
      <c r="K475" s="113" t="s">
        <v>4030</v>
      </c>
      <c r="L475" s="98" t="s">
        <v>4031</v>
      </c>
      <c r="M475" s="98" t="s">
        <v>4032</v>
      </c>
      <c r="N475" s="100"/>
      <c r="O475" s="100"/>
      <c r="P475" s="98" t="s">
        <v>4033</v>
      </c>
      <c r="Q475" s="98">
        <v>49.679981400000003</v>
      </c>
      <c r="R475" s="98">
        <v>18.464394200000001</v>
      </c>
      <c r="S475" s="100" t="s">
        <v>7447</v>
      </c>
      <c r="T475" s="103" t="s">
        <v>121</v>
      </c>
      <c r="U475" s="103" t="s">
        <v>259</v>
      </c>
      <c r="V475" s="103" t="s">
        <v>259</v>
      </c>
      <c r="W475" s="103" t="s">
        <v>739</v>
      </c>
    </row>
    <row r="476" spans="1:23" ht="15.75" customHeight="1">
      <c r="A476" s="96">
        <v>478</v>
      </c>
      <c r="B476" s="97" t="s">
        <v>27</v>
      </c>
      <c r="C476" s="98" t="s">
        <v>4034</v>
      </c>
      <c r="D476" s="98" t="s">
        <v>4035</v>
      </c>
      <c r="E476" s="98" t="s">
        <v>4036</v>
      </c>
      <c r="F476" s="98" t="s">
        <v>4037</v>
      </c>
      <c r="G476" s="99" t="s">
        <v>39</v>
      </c>
      <c r="H476" s="100" t="s">
        <v>69</v>
      </c>
      <c r="I476" s="98">
        <v>2018</v>
      </c>
      <c r="J476" s="100"/>
      <c r="K476" s="113" t="s">
        <v>4038</v>
      </c>
      <c r="L476" s="98" t="s">
        <v>4039</v>
      </c>
      <c r="M476" s="100"/>
      <c r="N476" s="100"/>
      <c r="O476" s="100"/>
      <c r="P476" s="98" t="s">
        <v>4040</v>
      </c>
      <c r="Q476" s="98">
        <v>49.714724199999999</v>
      </c>
      <c r="R476" s="98">
        <v>13.4152842</v>
      </c>
      <c r="S476" s="100" t="s">
        <v>7447</v>
      </c>
      <c r="T476" s="103" t="s">
        <v>217</v>
      </c>
      <c r="U476" s="103" t="s">
        <v>1139</v>
      </c>
      <c r="V476" s="103" t="s">
        <v>1140</v>
      </c>
      <c r="W476" s="103" t="s">
        <v>1140</v>
      </c>
    </row>
    <row r="477" spans="1:23" ht="15.75" customHeight="1">
      <c r="A477" s="96">
        <v>479</v>
      </c>
      <c r="B477" s="97" t="s">
        <v>27</v>
      </c>
      <c r="C477" s="98" t="s">
        <v>4041</v>
      </c>
      <c r="D477" s="98" t="s">
        <v>4042</v>
      </c>
      <c r="E477" s="98" t="s">
        <v>4043</v>
      </c>
      <c r="F477" s="98" t="s">
        <v>4044</v>
      </c>
      <c r="G477" s="99" t="s">
        <v>39</v>
      </c>
      <c r="H477" s="100" t="s">
        <v>69</v>
      </c>
      <c r="I477" s="98">
        <v>2018</v>
      </c>
      <c r="J477" s="113" t="s">
        <v>4045</v>
      </c>
      <c r="K477" s="114" t="s">
        <v>4586</v>
      </c>
      <c r="L477" s="98" t="s">
        <v>4047</v>
      </c>
      <c r="M477" s="100"/>
      <c r="N477" s="98" t="s">
        <v>4048</v>
      </c>
      <c r="O477" s="100"/>
      <c r="P477" s="98" t="s">
        <v>4050</v>
      </c>
      <c r="Q477" s="98">
        <v>49.939304999999997</v>
      </c>
      <c r="R477" s="98">
        <v>14.1328456</v>
      </c>
      <c r="S477" s="100" t="s">
        <v>7447</v>
      </c>
      <c r="T477" s="103" t="s">
        <v>71</v>
      </c>
      <c r="U477" s="103" t="s">
        <v>183</v>
      </c>
      <c r="V477" s="103" t="s">
        <v>183</v>
      </c>
      <c r="W477" s="103" t="s">
        <v>4043</v>
      </c>
    </row>
    <row r="478" spans="1:23" ht="15.75" customHeight="1">
      <c r="A478" s="96">
        <v>480</v>
      </c>
      <c r="B478" s="97" t="s">
        <v>27</v>
      </c>
      <c r="C478" s="98" t="s">
        <v>4051</v>
      </c>
      <c r="D478" s="98" t="s">
        <v>4052</v>
      </c>
      <c r="E478" s="98" t="s">
        <v>4051</v>
      </c>
      <c r="F478" s="98" t="s">
        <v>4053</v>
      </c>
      <c r="G478" s="99" t="s">
        <v>39</v>
      </c>
      <c r="H478" s="100" t="s">
        <v>60</v>
      </c>
      <c r="I478" s="98">
        <v>2018</v>
      </c>
      <c r="J478" s="113" t="s">
        <v>4054</v>
      </c>
      <c r="K478" s="113" t="s">
        <v>4055</v>
      </c>
      <c r="L478" s="98" t="s">
        <v>4056</v>
      </c>
      <c r="M478" s="100"/>
      <c r="N478" s="98" t="s">
        <v>4057</v>
      </c>
      <c r="O478" s="100"/>
      <c r="P478" s="98" t="s">
        <v>4058</v>
      </c>
      <c r="Q478" s="98">
        <v>49.018672199999997</v>
      </c>
      <c r="R478" s="98">
        <v>15.1058111</v>
      </c>
      <c r="S478" s="100" t="s">
        <v>7447</v>
      </c>
      <c r="T478" s="103" t="s">
        <v>369</v>
      </c>
      <c r="U478" s="103" t="s">
        <v>1254</v>
      </c>
      <c r="V478" s="103" t="s">
        <v>1254</v>
      </c>
      <c r="W478" s="103" t="s">
        <v>4051</v>
      </c>
    </row>
    <row r="479" spans="1:23" ht="15.75" customHeight="1">
      <c r="A479" s="96">
        <v>481</v>
      </c>
      <c r="B479" s="97" t="s">
        <v>27</v>
      </c>
      <c r="C479" s="98" t="s">
        <v>4059</v>
      </c>
      <c r="D479" s="98" t="s">
        <v>4060</v>
      </c>
      <c r="E479" s="98" t="s">
        <v>4059</v>
      </c>
      <c r="F479" s="98" t="s">
        <v>4061</v>
      </c>
      <c r="G479" s="99" t="s">
        <v>39</v>
      </c>
      <c r="H479" s="100" t="s">
        <v>60</v>
      </c>
      <c r="I479" s="98">
        <v>2018</v>
      </c>
      <c r="J479" s="113" t="s">
        <v>4062</v>
      </c>
      <c r="K479" s="113" t="s">
        <v>4063</v>
      </c>
      <c r="L479" s="98" t="s">
        <v>4064</v>
      </c>
      <c r="M479" s="100"/>
      <c r="N479" s="100"/>
      <c r="O479" s="100"/>
      <c r="P479" s="98" t="s">
        <v>4065</v>
      </c>
      <c r="Q479" s="98">
        <v>48.782646900000003</v>
      </c>
      <c r="R479" s="98">
        <v>14.7892583</v>
      </c>
      <c r="S479" s="100" t="s">
        <v>7447</v>
      </c>
      <c r="T479" s="103" t="s">
        <v>369</v>
      </c>
      <c r="U479" s="103" t="s">
        <v>298</v>
      </c>
      <c r="V479" s="103" t="s">
        <v>2216</v>
      </c>
      <c r="W479" s="103" t="s">
        <v>4059</v>
      </c>
    </row>
    <row r="480" spans="1:23" ht="15.75" customHeight="1">
      <c r="A480" s="96">
        <v>482</v>
      </c>
      <c r="B480" s="97" t="s">
        <v>27</v>
      </c>
      <c r="C480" s="98" t="s">
        <v>4067</v>
      </c>
      <c r="D480" s="98" t="s">
        <v>4068</v>
      </c>
      <c r="E480" s="98" t="s">
        <v>4069</v>
      </c>
      <c r="F480" s="98" t="s">
        <v>4070</v>
      </c>
      <c r="G480" s="99" t="s">
        <v>39</v>
      </c>
      <c r="H480" s="100" t="s">
        <v>40</v>
      </c>
      <c r="I480" s="115">
        <v>2018</v>
      </c>
      <c r="J480" s="102" t="str">
        <f>HYPERLINK("http://www.vojanuvdvur.cz","http://www.vojanuvdvur.cz")</f>
        <v>http://www.vojanuvdvur.cz</v>
      </c>
      <c r="K480" s="113" t="s">
        <v>4071</v>
      </c>
      <c r="L480" s="98" t="s">
        <v>4072</v>
      </c>
      <c r="M480" s="100"/>
      <c r="N480" s="100"/>
      <c r="O480" s="100"/>
      <c r="P480" s="98" t="s">
        <v>4074</v>
      </c>
      <c r="Q480" s="98">
        <v>50.089736100000003</v>
      </c>
      <c r="R480" s="98">
        <v>14.4095058</v>
      </c>
      <c r="S480" s="100" t="s">
        <v>7447</v>
      </c>
      <c r="T480" s="103" t="s">
        <v>58</v>
      </c>
      <c r="U480" s="103" t="s">
        <v>58</v>
      </c>
      <c r="V480" s="103" t="s">
        <v>58</v>
      </c>
      <c r="W480" s="103" t="s">
        <v>59</v>
      </c>
    </row>
    <row r="481" spans="1:23" ht="15.75" customHeight="1">
      <c r="A481" s="96">
        <v>483</v>
      </c>
      <c r="B481" s="97" t="s">
        <v>27</v>
      </c>
      <c r="C481" s="100" t="s">
        <v>4075</v>
      </c>
      <c r="D481" s="98" t="s">
        <v>4076</v>
      </c>
      <c r="E481" s="100" t="s">
        <v>1673</v>
      </c>
      <c r="F481" s="98" t="s">
        <v>4077</v>
      </c>
      <c r="G481" s="99" t="s">
        <v>39</v>
      </c>
      <c r="H481" s="100" t="s">
        <v>69</v>
      </c>
      <c r="I481" s="115">
        <v>2018</v>
      </c>
      <c r="J481" s="113" t="s">
        <v>4078</v>
      </c>
      <c r="K481" s="100"/>
      <c r="L481" s="98" t="s">
        <v>4079</v>
      </c>
      <c r="M481" s="100"/>
      <c r="N481" s="100"/>
      <c r="O481" s="100"/>
      <c r="P481" s="98" t="s">
        <v>4080</v>
      </c>
      <c r="Q481" s="98">
        <v>50.4347572</v>
      </c>
      <c r="R481" s="98">
        <v>15.7986603</v>
      </c>
      <c r="S481" s="100" t="s">
        <v>7447</v>
      </c>
      <c r="T481" s="103" t="s">
        <v>207</v>
      </c>
      <c r="U481" s="103" t="s">
        <v>586</v>
      </c>
      <c r="V481" s="103" t="s">
        <v>1673</v>
      </c>
      <c r="W481" s="103" t="s">
        <v>1673</v>
      </c>
    </row>
    <row r="482" spans="1:23" ht="15.75" customHeight="1">
      <c r="A482" s="96">
        <v>484</v>
      </c>
      <c r="B482" s="97" t="s">
        <v>99</v>
      </c>
      <c r="C482" s="96" t="s">
        <v>4109</v>
      </c>
      <c r="D482" s="96" t="s">
        <v>4109</v>
      </c>
      <c r="E482" s="96" t="s">
        <v>59</v>
      </c>
      <c r="F482" s="96" t="s">
        <v>4110</v>
      </c>
      <c r="G482" s="99" t="s">
        <v>39</v>
      </c>
      <c r="H482" s="100" t="s">
        <v>114</v>
      </c>
      <c r="I482" s="100"/>
      <c r="J482" s="96" t="s">
        <v>4112</v>
      </c>
      <c r="K482" s="96" t="s">
        <v>4113</v>
      </c>
      <c r="L482" s="96" t="s">
        <v>4114</v>
      </c>
      <c r="M482" s="96"/>
      <c r="N482" s="100" t="s">
        <v>119</v>
      </c>
      <c r="O482" s="96"/>
      <c r="P482" s="96" t="s">
        <v>7908</v>
      </c>
      <c r="Q482" s="101">
        <v>50.075968099999997</v>
      </c>
      <c r="R482" s="101">
        <v>14.437915800000001</v>
      </c>
      <c r="S482" s="100" t="s">
        <v>7447</v>
      </c>
      <c r="T482" s="103" t="s">
        <v>58</v>
      </c>
      <c r="U482" s="103" t="s">
        <v>58</v>
      </c>
      <c r="V482" s="103" t="s">
        <v>58</v>
      </c>
      <c r="W482" s="103" t="s">
        <v>59</v>
      </c>
    </row>
    <row r="483" spans="1:23" ht="15.75" customHeight="1">
      <c r="A483" s="96">
        <v>485</v>
      </c>
      <c r="B483" s="97" t="s">
        <v>99</v>
      </c>
      <c r="C483" s="96" t="s">
        <v>4117</v>
      </c>
      <c r="D483" s="96" t="s">
        <v>4117</v>
      </c>
      <c r="E483" s="96" t="s">
        <v>1556</v>
      </c>
      <c r="F483" s="96" t="s">
        <v>4118</v>
      </c>
      <c r="G483" s="99" t="s">
        <v>39</v>
      </c>
      <c r="H483" s="100" t="s">
        <v>114</v>
      </c>
      <c r="I483" s="100"/>
      <c r="J483" s="96"/>
      <c r="K483" s="96" t="s">
        <v>4119</v>
      </c>
      <c r="L483" s="96" t="s">
        <v>4120</v>
      </c>
      <c r="M483" s="96"/>
      <c r="N483" s="100" t="s">
        <v>119</v>
      </c>
      <c r="O483" s="96"/>
      <c r="P483" s="96" t="s">
        <v>7909</v>
      </c>
      <c r="Q483" s="101">
        <v>50.077548299999997</v>
      </c>
      <c r="R483" s="101">
        <v>14.4051694</v>
      </c>
      <c r="S483" s="100" t="s">
        <v>7447</v>
      </c>
      <c r="T483" s="103" t="s">
        <v>58</v>
      </c>
      <c r="U483" s="103" t="s">
        <v>58</v>
      </c>
      <c r="V483" s="103" t="s">
        <v>58</v>
      </c>
      <c r="W483" s="103" t="s">
        <v>59</v>
      </c>
    </row>
    <row r="484" spans="1:23" ht="15.75" customHeight="1">
      <c r="A484" s="96">
        <v>486</v>
      </c>
      <c r="B484" s="97" t="s">
        <v>99</v>
      </c>
      <c r="C484" s="96" t="s">
        <v>4122</v>
      </c>
      <c r="D484" s="96" t="s">
        <v>4122</v>
      </c>
      <c r="E484" s="96" t="s">
        <v>950</v>
      </c>
      <c r="F484" s="96" t="s">
        <v>4123</v>
      </c>
      <c r="G484" s="99" t="s">
        <v>39</v>
      </c>
      <c r="H484" s="100" t="s">
        <v>114</v>
      </c>
      <c r="I484" s="100"/>
      <c r="J484" s="96"/>
      <c r="K484" s="96" t="s">
        <v>4124</v>
      </c>
      <c r="L484" s="96" t="s">
        <v>955</v>
      </c>
      <c r="M484" s="96" t="s">
        <v>4125</v>
      </c>
      <c r="N484" s="100" t="s">
        <v>4649</v>
      </c>
      <c r="O484" s="96"/>
      <c r="P484" s="96" t="s">
        <v>7910</v>
      </c>
      <c r="Q484" s="108">
        <v>48.813279700000002</v>
      </c>
      <c r="R484" s="108">
        <v>16.640411100000001</v>
      </c>
      <c r="S484" s="100" t="s">
        <v>7447</v>
      </c>
      <c r="T484" s="103" t="s">
        <v>325</v>
      </c>
      <c r="U484" s="103" t="s">
        <v>256</v>
      </c>
      <c r="V484" s="103" t="s">
        <v>950</v>
      </c>
      <c r="W484" s="103" t="s">
        <v>950</v>
      </c>
    </row>
    <row r="485" spans="1:23" ht="15.75" customHeight="1">
      <c r="A485" s="96">
        <v>487</v>
      </c>
      <c r="B485" s="97" t="s">
        <v>99</v>
      </c>
      <c r="C485" s="98" t="s">
        <v>4128</v>
      </c>
      <c r="D485" s="98" t="s">
        <v>4128</v>
      </c>
      <c r="E485" s="96" t="s">
        <v>674</v>
      </c>
      <c r="F485" s="96" t="s">
        <v>4129</v>
      </c>
      <c r="G485" s="99" t="s">
        <v>39</v>
      </c>
      <c r="H485" s="100" t="s">
        <v>114</v>
      </c>
      <c r="I485" s="100"/>
      <c r="J485" s="102" t="s">
        <v>4130</v>
      </c>
      <c r="K485" s="96" t="s">
        <v>4131</v>
      </c>
      <c r="L485" s="96" t="s">
        <v>4132</v>
      </c>
      <c r="M485" s="96"/>
      <c r="N485" s="100" t="s">
        <v>119</v>
      </c>
      <c r="O485" s="96"/>
      <c r="P485" s="96" t="s">
        <v>4133</v>
      </c>
      <c r="Q485" s="101">
        <v>49.4141586</v>
      </c>
      <c r="R485" s="101">
        <v>14.661490300000001</v>
      </c>
      <c r="S485" s="100" t="s">
        <v>7447</v>
      </c>
      <c r="T485" s="103" t="s">
        <v>369</v>
      </c>
      <c r="U485" s="103" t="s">
        <v>674</v>
      </c>
      <c r="V485" s="103" t="s">
        <v>674</v>
      </c>
      <c r="W485" s="103" t="s">
        <v>674</v>
      </c>
    </row>
    <row r="486" spans="1:23" ht="15.75" customHeight="1">
      <c r="A486" s="96">
        <v>488</v>
      </c>
      <c r="B486" s="97" t="s">
        <v>99</v>
      </c>
      <c r="C486" s="98" t="s">
        <v>4134</v>
      </c>
      <c r="D486" s="98" t="s">
        <v>4134</v>
      </c>
      <c r="E486" s="96" t="s">
        <v>68</v>
      </c>
      <c r="F486" s="96" t="s">
        <v>4135</v>
      </c>
      <c r="G486" s="99" t="s">
        <v>39</v>
      </c>
      <c r="H486" s="100" t="s">
        <v>114</v>
      </c>
      <c r="I486" s="100"/>
      <c r="J486" s="102" t="s">
        <v>4136</v>
      </c>
      <c r="K486" s="96" t="s">
        <v>4137</v>
      </c>
      <c r="L486" s="96" t="s">
        <v>4138</v>
      </c>
      <c r="M486" s="96"/>
      <c r="N486" s="100" t="s">
        <v>119</v>
      </c>
      <c r="O486" s="96"/>
      <c r="P486" s="96" t="s">
        <v>7451</v>
      </c>
      <c r="Q486" s="101">
        <v>50.769454199999998</v>
      </c>
      <c r="R486" s="101">
        <v>15.050409999999999</v>
      </c>
      <c r="S486" s="100" t="s">
        <v>7447</v>
      </c>
      <c r="T486" s="103" t="s">
        <v>67</v>
      </c>
      <c r="U486" s="103" t="s">
        <v>68</v>
      </c>
      <c r="V486" s="103" t="s">
        <v>68</v>
      </c>
      <c r="W486" s="103" t="s">
        <v>68</v>
      </c>
    </row>
    <row r="487" spans="1:23" ht="15.75" customHeight="1">
      <c r="A487" s="96">
        <v>489</v>
      </c>
      <c r="B487" s="97" t="s">
        <v>99</v>
      </c>
      <c r="C487" s="96" t="s">
        <v>4140</v>
      </c>
      <c r="D487" s="96" t="s">
        <v>4140</v>
      </c>
      <c r="E487" s="96" t="s">
        <v>123</v>
      </c>
      <c r="F487" s="96" t="s">
        <v>4141</v>
      </c>
      <c r="G487" s="99" t="s">
        <v>39</v>
      </c>
      <c r="H487" s="100" t="s">
        <v>114</v>
      </c>
      <c r="I487" s="100"/>
      <c r="J487" s="102" t="s">
        <v>4142</v>
      </c>
      <c r="K487" s="96" t="s">
        <v>4143</v>
      </c>
      <c r="L487" s="96" t="s">
        <v>4144</v>
      </c>
      <c r="M487" s="96"/>
      <c r="N487" s="100" t="s">
        <v>4676</v>
      </c>
      <c r="O487" s="96"/>
      <c r="P487" s="96" t="s">
        <v>7911</v>
      </c>
      <c r="Q487" s="101">
        <v>49.835436700000002</v>
      </c>
      <c r="R487" s="101">
        <v>18.293994999999999</v>
      </c>
      <c r="S487" s="100" t="s">
        <v>52</v>
      </c>
      <c r="T487" s="103" t="s">
        <v>121</v>
      </c>
      <c r="U487" s="103" t="s">
        <v>122</v>
      </c>
      <c r="V487" s="103" t="s">
        <v>123</v>
      </c>
      <c r="W487" s="103" t="s">
        <v>123</v>
      </c>
    </row>
    <row r="488" spans="1:23" ht="15.75" customHeight="1">
      <c r="A488" s="96">
        <v>490</v>
      </c>
      <c r="B488" s="97" t="s">
        <v>99</v>
      </c>
      <c r="C488" s="96" t="s">
        <v>4147</v>
      </c>
      <c r="D488" s="96" t="s">
        <v>4147</v>
      </c>
      <c r="E488" s="96" t="s">
        <v>59</v>
      </c>
      <c r="F488" s="96" t="s">
        <v>4149</v>
      </c>
      <c r="G488" s="99" t="s">
        <v>39</v>
      </c>
      <c r="H488" s="100" t="s">
        <v>103</v>
      </c>
      <c r="I488" s="100"/>
      <c r="J488" s="96" t="s">
        <v>4151</v>
      </c>
      <c r="K488" s="96" t="s">
        <v>4152</v>
      </c>
      <c r="L488" s="96" t="s">
        <v>4153</v>
      </c>
      <c r="M488" s="96" t="s">
        <v>4154</v>
      </c>
      <c r="N488" s="100" t="s">
        <v>4684</v>
      </c>
      <c r="O488" s="96"/>
      <c r="P488" s="96" t="s">
        <v>7912</v>
      </c>
      <c r="Q488" s="101">
        <v>50.071568599999999</v>
      </c>
      <c r="R488" s="101">
        <v>14.447161100000001</v>
      </c>
      <c r="S488" s="100" t="s">
        <v>7447</v>
      </c>
      <c r="T488" s="103" t="s">
        <v>58</v>
      </c>
      <c r="U488" s="103" t="s">
        <v>58</v>
      </c>
      <c r="V488" s="103" t="s">
        <v>58</v>
      </c>
      <c r="W488" s="103" t="s">
        <v>59</v>
      </c>
    </row>
    <row r="489" spans="1:23" ht="15.75" customHeight="1">
      <c r="A489" s="96">
        <v>491</v>
      </c>
      <c r="B489" s="97" t="s">
        <v>99</v>
      </c>
      <c r="C489" s="96" t="s">
        <v>4157</v>
      </c>
      <c r="D489" s="96" t="s">
        <v>4157</v>
      </c>
      <c r="E489" s="96" t="s">
        <v>4158</v>
      </c>
      <c r="F489" s="96" t="s">
        <v>4159</v>
      </c>
      <c r="G489" s="99" t="s">
        <v>39</v>
      </c>
      <c r="H489" s="100" t="s">
        <v>103</v>
      </c>
      <c r="I489" s="100"/>
      <c r="J489" s="96" t="s">
        <v>4151</v>
      </c>
      <c r="K489" s="96" t="s">
        <v>4160</v>
      </c>
      <c r="L489" s="96" t="s">
        <v>4153</v>
      </c>
      <c r="M489" s="96" t="s">
        <v>4154</v>
      </c>
      <c r="N489" s="100" t="s">
        <v>4684</v>
      </c>
      <c r="O489" s="96"/>
      <c r="P489" s="96" t="s">
        <v>7913</v>
      </c>
      <c r="Q489" s="101">
        <v>50.093844199999999</v>
      </c>
      <c r="R489" s="101">
        <v>14.4561697</v>
      </c>
      <c r="S489" s="100" t="s">
        <v>7447</v>
      </c>
      <c r="T489" s="103" t="s">
        <v>58</v>
      </c>
      <c r="U489" s="103" t="s">
        <v>58</v>
      </c>
      <c r="V489" s="103" t="s">
        <v>58</v>
      </c>
      <c r="W489" s="103" t="s">
        <v>59</v>
      </c>
    </row>
    <row r="490" spans="1:23" ht="15.75" customHeight="1">
      <c r="A490" s="96">
        <v>492</v>
      </c>
      <c r="B490" s="97" t="s">
        <v>99</v>
      </c>
      <c r="C490" s="96" t="s">
        <v>4162</v>
      </c>
      <c r="D490" s="96" t="s">
        <v>4162</v>
      </c>
      <c r="E490" s="96" t="s">
        <v>1018</v>
      </c>
      <c r="F490" s="96" t="s">
        <v>4163</v>
      </c>
      <c r="G490" s="99" t="s">
        <v>39</v>
      </c>
      <c r="H490" s="100" t="s">
        <v>114</v>
      </c>
      <c r="I490" s="100"/>
      <c r="J490" s="96" t="s">
        <v>4164</v>
      </c>
      <c r="K490" s="96" t="s">
        <v>4165</v>
      </c>
      <c r="L490" s="96" t="s">
        <v>4166</v>
      </c>
      <c r="M490" s="96"/>
      <c r="N490" s="100" t="s">
        <v>119</v>
      </c>
      <c r="O490" s="96"/>
      <c r="P490" s="96" t="s">
        <v>7914</v>
      </c>
      <c r="Q490" s="101">
        <v>49.195934200000004</v>
      </c>
      <c r="R490" s="101">
        <v>16.6097003</v>
      </c>
      <c r="S490" s="100" t="s">
        <v>52</v>
      </c>
      <c r="T490" s="103" t="s">
        <v>325</v>
      </c>
      <c r="U490" s="103" t="s">
        <v>1017</v>
      </c>
      <c r="V490" s="103" t="s">
        <v>1018</v>
      </c>
      <c r="W490" s="103" t="s">
        <v>1018</v>
      </c>
    </row>
    <row r="491" spans="1:23" ht="15.75" customHeight="1">
      <c r="A491" s="96">
        <v>495</v>
      </c>
      <c r="B491" s="97" t="s">
        <v>99</v>
      </c>
      <c r="C491" s="96" t="s">
        <v>4182</v>
      </c>
      <c r="D491" s="100" t="s">
        <v>4718</v>
      </c>
      <c r="E491" s="96" t="s">
        <v>111</v>
      </c>
      <c r="F491" s="96" t="s">
        <v>4183</v>
      </c>
      <c r="G491" s="99" t="s">
        <v>39</v>
      </c>
      <c r="H491" s="100" t="s">
        <v>114</v>
      </c>
      <c r="I491" s="100"/>
      <c r="J491" s="96" t="s">
        <v>4184</v>
      </c>
      <c r="K491" s="96" t="s">
        <v>4185</v>
      </c>
      <c r="L491" s="96" t="s">
        <v>4186</v>
      </c>
      <c r="M491" s="96" t="s">
        <v>4111</v>
      </c>
      <c r="N491" s="100" t="s">
        <v>119</v>
      </c>
      <c r="O491" s="96"/>
      <c r="P491" s="96" t="s">
        <v>4187</v>
      </c>
      <c r="Q491" s="101">
        <v>49.825840300000003</v>
      </c>
      <c r="R491" s="98">
        <v>18.1619606</v>
      </c>
      <c r="S491" s="100" t="s">
        <v>52</v>
      </c>
      <c r="T491" s="103" t="s">
        <v>121</v>
      </c>
      <c r="U491" s="103" t="s">
        <v>122</v>
      </c>
      <c r="V491" s="103" t="s">
        <v>123</v>
      </c>
      <c r="W491" s="103" t="s">
        <v>123</v>
      </c>
    </row>
    <row r="492" spans="1:23" ht="15.75" customHeight="1">
      <c r="A492" s="96">
        <v>496</v>
      </c>
      <c r="B492" s="97" t="s">
        <v>99</v>
      </c>
      <c r="C492" s="96" t="s">
        <v>4189</v>
      </c>
      <c r="D492" s="96" t="s">
        <v>4189</v>
      </c>
      <c r="E492" s="96" t="s">
        <v>1018</v>
      </c>
      <c r="F492" s="96" t="s">
        <v>4191</v>
      </c>
      <c r="G492" s="99" t="s">
        <v>39</v>
      </c>
      <c r="H492" s="100" t="s">
        <v>103</v>
      </c>
      <c r="I492" s="100"/>
      <c r="J492" s="96" t="s">
        <v>4192</v>
      </c>
      <c r="K492" s="96" t="s">
        <v>4193</v>
      </c>
      <c r="L492" s="96" t="s">
        <v>4194</v>
      </c>
      <c r="M492" s="96" t="s">
        <v>4195</v>
      </c>
      <c r="N492" s="100" t="s">
        <v>4735</v>
      </c>
      <c r="O492" s="96"/>
      <c r="P492" s="96" t="s">
        <v>7915</v>
      </c>
      <c r="Q492" s="108">
        <v>49.19162</v>
      </c>
      <c r="R492" s="108">
        <v>16.654632200000002</v>
      </c>
      <c r="S492" s="100" t="s">
        <v>52</v>
      </c>
      <c r="T492" s="103" t="s">
        <v>325</v>
      </c>
      <c r="U492" s="103" t="s">
        <v>1017</v>
      </c>
      <c r="V492" s="103" t="s">
        <v>1018</v>
      </c>
      <c r="W492" s="103" t="s">
        <v>1018</v>
      </c>
    </row>
    <row r="493" spans="1:23" ht="15.75" customHeight="1">
      <c r="A493" s="96">
        <v>497</v>
      </c>
      <c r="B493" s="97" t="s">
        <v>99</v>
      </c>
      <c r="C493" s="98" t="s">
        <v>4198</v>
      </c>
      <c r="D493" s="98" t="s">
        <v>4198</v>
      </c>
      <c r="E493" s="96" t="s">
        <v>208</v>
      </c>
      <c r="F493" s="96" t="s">
        <v>4199</v>
      </c>
      <c r="G493" s="99" t="s">
        <v>39</v>
      </c>
      <c r="H493" s="100" t="s">
        <v>114</v>
      </c>
      <c r="I493" s="100"/>
      <c r="J493" s="102" t="s">
        <v>4200</v>
      </c>
      <c r="K493" s="96" t="s">
        <v>4201</v>
      </c>
      <c r="L493" s="96" t="s">
        <v>4202</v>
      </c>
      <c r="M493" s="96" t="s">
        <v>4111</v>
      </c>
      <c r="N493" s="100" t="s">
        <v>119</v>
      </c>
      <c r="O493" s="96"/>
      <c r="P493" s="96" t="s">
        <v>7452</v>
      </c>
      <c r="Q493" s="101">
        <v>50.209780299999998</v>
      </c>
      <c r="R493" s="101">
        <v>15.8314811</v>
      </c>
      <c r="S493" s="100" t="s">
        <v>52</v>
      </c>
      <c r="T493" s="103" t="s">
        <v>207</v>
      </c>
      <c r="U493" s="103" t="s">
        <v>208</v>
      </c>
      <c r="V493" s="103" t="s">
        <v>208</v>
      </c>
      <c r="W493" s="103" t="s">
        <v>208</v>
      </c>
    </row>
    <row r="494" spans="1:23" ht="15.75" customHeight="1">
      <c r="A494" s="96">
        <v>498</v>
      </c>
      <c r="B494" s="97" t="s">
        <v>99</v>
      </c>
      <c r="C494" s="96" t="s">
        <v>4204</v>
      </c>
      <c r="D494" s="96" t="s">
        <v>4204</v>
      </c>
      <c r="E494" s="96" t="s">
        <v>59</v>
      </c>
      <c r="F494" s="96" t="s">
        <v>4206</v>
      </c>
      <c r="G494" s="99" t="s">
        <v>39</v>
      </c>
      <c r="H494" s="100" t="s">
        <v>103</v>
      </c>
      <c r="I494" s="100"/>
      <c r="J494" s="96" t="s">
        <v>4207</v>
      </c>
      <c r="K494" s="96" t="s">
        <v>4208</v>
      </c>
      <c r="L494" s="96" t="s">
        <v>4209</v>
      </c>
      <c r="M494" s="96" t="s">
        <v>4210</v>
      </c>
      <c r="N494" s="100" t="s">
        <v>4753</v>
      </c>
      <c r="O494" s="96"/>
      <c r="P494" s="96" t="s">
        <v>7916</v>
      </c>
      <c r="Q494" s="101">
        <v>50.0770847</v>
      </c>
      <c r="R494" s="101">
        <v>14.4500139</v>
      </c>
      <c r="S494" s="100" t="s">
        <v>7447</v>
      </c>
      <c r="T494" s="103" t="s">
        <v>58</v>
      </c>
      <c r="U494" s="103" t="s">
        <v>58</v>
      </c>
      <c r="V494" s="103" t="s">
        <v>58</v>
      </c>
      <c r="W494" s="103" t="s">
        <v>59</v>
      </c>
    </row>
    <row r="495" spans="1:23" ht="15.75" customHeight="1">
      <c r="A495" s="96">
        <v>500</v>
      </c>
      <c r="B495" s="97" t="s">
        <v>99</v>
      </c>
      <c r="C495" s="98" t="s">
        <v>4219</v>
      </c>
      <c r="D495" s="98" t="s">
        <v>4219</v>
      </c>
      <c r="E495" s="96" t="s">
        <v>183</v>
      </c>
      <c r="F495" s="96" t="s">
        <v>4220</v>
      </c>
      <c r="G495" s="99" t="s">
        <v>39</v>
      </c>
      <c r="H495" s="100" t="s">
        <v>114</v>
      </c>
      <c r="I495" s="100"/>
      <c r="J495" s="96" t="s">
        <v>4221</v>
      </c>
      <c r="K495" s="96" t="s">
        <v>4222</v>
      </c>
      <c r="L495" s="96" t="s">
        <v>4223</v>
      </c>
      <c r="M495" s="96"/>
      <c r="N495" s="100" t="s">
        <v>119</v>
      </c>
      <c r="O495" s="96"/>
      <c r="P495" s="96" t="s">
        <v>7453</v>
      </c>
      <c r="Q495" s="101">
        <v>49.965310799999997</v>
      </c>
      <c r="R495" s="101">
        <v>14.0731269</v>
      </c>
      <c r="S495" s="100" t="s">
        <v>7447</v>
      </c>
      <c r="T495" s="103" t="s">
        <v>71</v>
      </c>
      <c r="U495" s="103" t="s">
        <v>183</v>
      </c>
      <c r="V495" s="103" t="s">
        <v>183</v>
      </c>
      <c r="W495" s="103" t="s">
        <v>183</v>
      </c>
    </row>
    <row r="496" spans="1:23" ht="15.75" customHeight="1">
      <c r="A496" s="96">
        <v>501</v>
      </c>
      <c r="B496" s="97" t="s">
        <v>99</v>
      </c>
      <c r="C496" s="96" t="s">
        <v>4225</v>
      </c>
      <c r="D496" s="96" t="s">
        <v>4225</v>
      </c>
      <c r="E496" s="96" t="s">
        <v>2602</v>
      </c>
      <c r="F496" s="96" t="s">
        <v>4226</v>
      </c>
      <c r="G496" s="99" t="s">
        <v>39</v>
      </c>
      <c r="H496" s="100" t="s">
        <v>114</v>
      </c>
      <c r="I496" s="100"/>
      <c r="J496" s="96" t="s">
        <v>4227</v>
      </c>
      <c r="K496" s="96" t="s">
        <v>4228</v>
      </c>
      <c r="L496" s="96" t="s">
        <v>4230</v>
      </c>
      <c r="M496" s="96" t="s">
        <v>4111</v>
      </c>
      <c r="N496" s="100" t="s">
        <v>119</v>
      </c>
      <c r="O496" s="96"/>
      <c r="P496" s="96" t="s">
        <v>7917</v>
      </c>
      <c r="Q496" s="101">
        <v>50.077634199999999</v>
      </c>
      <c r="R496" s="101">
        <v>14.439612199999999</v>
      </c>
      <c r="S496" s="100" t="s">
        <v>7447</v>
      </c>
      <c r="T496" s="103" t="s">
        <v>58</v>
      </c>
      <c r="U496" s="103" t="s">
        <v>58</v>
      </c>
      <c r="V496" s="103" t="s">
        <v>58</v>
      </c>
      <c r="W496" s="103" t="s">
        <v>59</v>
      </c>
    </row>
    <row r="497" spans="1:23" ht="15.75" customHeight="1">
      <c r="A497" s="96">
        <v>504</v>
      </c>
      <c r="B497" s="97" t="s">
        <v>99</v>
      </c>
      <c r="C497" s="96" t="s">
        <v>4242</v>
      </c>
      <c r="D497" s="96" t="s">
        <v>4242</v>
      </c>
      <c r="E497" s="96" t="s">
        <v>1377</v>
      </c>
      <c r="F497" s="96" t="s">
        <v>4243</v>
      </c>
      <c r="G497" s="99" t="s">
        <v>39</v>
      </c>
      <c r="H497" s="100" t="s">
        <v>103</v>
      </c>
      <c r="I497" s="100"/>
      <c r="J497" s="96" t="s">
        <v>4244</v>
      </c>
      <c r="K497" s="96"/>
      <c r="L497" s="96" t="s">
        <v>1380</v>
      </c>
      <c r="M497" s="96"/>
      <c r="N497" s="96" t="s">
        <v>1377</v>
      </c>
      <c r="O497" s="96"/>
      <c r="P497" s="96" t="s">
        <v>7918</v>
      </c>
      <c r="Q497" s="96">
        <v>50.294620600000002</v>
      </c>
      <c r="R497" s="96">
        <v>16.1606025</v>
      </c>
      <c r="S497" s="100" t="s">
        <v>52</v>
      </c>
      <c r="T497" s="103" t="s">
        <v>207</v>
      </c>
      <c r="U497" s="103" t="s">
        <v>1450</v>
      </c>
      <c r="V497" s="103" t="s">
        <v>1377</v>
      </c>
      <c r="W497" s="103" t="s">
        <v>1377</v>
      </c>
    </row>
    <row r="498" spans="1:23" ht="15.75" customHeight="1">
      <c r="A498" s="96">
        <v>505</v>
      </c>
      <c r="B498" s="97" t="s">
        <v>99</v>
      </c>
      <c r="C498" s="96" t="s">
        <v>4246</v>
      </c>
      <c r="D498" s="96" t="s">
        <v>4246</v>
      </c>
      <c r="E498" s="96" t="s">
        <v>2602</v>
      </c>
      <c r="F498" s="96" t="s">
        <v>4247</v>
      </c>
      <c r="G498" s="99" t="s">
        <v>39</v>
      </c>
      <c r="H498" s="100" t="s">
        <v>114</v>
      </c>
      <c r="I498" s="100"/>
      <c r="J498" s="102" t="s">
        <v>4248</v>
      </c>
      <c r="K498" s="96" t="s">
        <v>4249</v>
      </c>
      <c r="L498" s="96" t="s">
        <v>4250</v>
      </c>
      <c r="M498" s="96"/>
      <c r="N498" s="100" t="s">
        <v>4815</v>
      </c>
      <c r="O498" s="96"/>
      <c r="P498" s="96" t="s">
        <v>7919</v>
      </c>
      <c r="Q498" s="101">
        <v>50.075446900000003</v>
      </c>
      <c r="R498" s="101">
        <v>14.438028299999999</v>
      </c>
      <c r="S498" s="100" t="s">
        <v>7447</v>
      </c>
      <c r="T498" s="103" t="s">
        <v>58</v>
      </c>
      <c r="U498" s="103" t="s">
        <v>58</v>
      </c>
      <c r="V498" s="103" t="s">
        <v>58</v>
      </c>
      <c r="W498" s="103" t="s">
        <v>59</v>
      </c>
    </row>
    <row r="499" spans="1:23" ht="15.75" customHeight="1">
      <c r="A499" s="96">
        <v>512</v>
      </c>
      <c r="B499" s="97" t="s">
        <v>99</v>
      </c>
      <c r="C499" s="96" t="s">
        <v>4284</v>
      </c>
      <c r="D499" s="96" t="s">
        <v>4284</v>
      </c>
      <c r="E499" s="96" t="s">
        <v>419</v>
      </c>
      <c r="F499" s="96" t="s">
        <v>4285</v>
      </c>
      <c r="G499" s="99" t="s">
        <v>39</v>
      </c>
      <c r="H499" s="100" t="s">
        <v>114</v>
      </c>
      <c r="I499" s="100"/>
      <c r="J499" s="96" t="s">
        <v>4286</v>
      </c>
      <c r="K499" s="96" t="s">
        <v>4287</v>
      </c>
      <c r="L499" s="96" t="s">
        <v>4288</v>
      </c>
      <c r="M499" s="96" t="s">
        <v>4289</v>
      </c>
      <c r="N499" s="100" t="s">
        <v>119</v>
      </c>
      <c r="O499" s="96"/>
      <c r="P499" s="96" t="s">
        <v>7920</v>
      </c>
      <c r="Q499" s="101">
        <v>50.0787689</v>
      </c>
      <c r="R499" s="101">
        <v>14.423423100000001</v>
      </c>
      <c r="S499" s="100" t="s">
        <v>7447</v>
      </c>
      <c r="T499" s="103" t="s">
        <v>58</v>
      </c>
      <c r="U499" s="103" t="s">
        <v>58</v>
      </c>
      <c r="V499" s="103" t="s">
        <v>58</v>
      </c>
      <c r="W499" s="103" t="s">
        <v>59</v>
      </c>
    </row>
    <row r="500" spans="1:23" ht="15.75" customHeight="1">
      <c r="A500" s="96">
        <v>513</v>
      </c>
      <c r="B500" s="97" t="s">
        <v>99</v>
      </c>
      <c r="C500" s="96" t="s">
        <v>4292</v>
      </c>
      <c r="D500" s="96" t="s">
        <v>4292</v>
      </c>
      <c r="E500" s="96" t="s">
        <v>1018</v>
      </c>
      <c r="F500" s="96" t="s">
        <v>4293</v>
      </c>
      <c r="G500" s="99" t="s">
        <v>39</v>
      </c>
      <c r="H500" s="100" t="s">
        <v>114</v>
      </c>
      <c r="I500" s="100"/>
      <c r="J500" s="96" t="s">
        <v>4294</v>
      </c>
      <c r="K500" s="96" t="s">
        <v>4295</v>
      </c>
      <c r="L500" s="96" t="s">
        <v>4296</v>
      </c>
      <c r="M500" s="96" t="s">
        <v>4111</v>
      </c>
      <c r="N500" s="100" t="s">
        <v>119</v>
      </c>
      <c r="O500" s="96"/>
      <c r="P500" s="96" t="s">
        <v>7921</v>
      </c>
      <c r="Q500" s="101">
        <v>49.192629199999999</v>
      </c>
      <c r="R500" s="101">
        <v>16.6083219</v>
      </c>
      <c r="S500" s="100" t="s">
        <v>7447</v>
      </c>
      <c r="T500" s="103" t="s">
        <v>325</v>
      </c>
      <c r="U500" s="103" t="s">
        <v>1017</v>
      </c>
      <c r="V500" s="103" t="s">
        <v>1018</v>
      </c>
      <c r="W500" s="103" t="s">
        <v>1018</v>
      </c>
    </row>
    <row r="501" spans="1:23" ht="15.75" customHeight="1">
      <c r="A501" s="96">
        <v>514</v>
      </c>
      <c r="B501" s="97" t="s">
        <v>99</v>
      </c>
      <c r="C501" s="96" t="s">
        <v>4298</v>
      </c>
      <c r="D501" s="96" t="s">
        <v>4298</v>
      </c>
      <c r="E501" s="96" t="s">
        <v>574</v>
      </c>
      <c r="F501" s="96" t="s">
        <v>4299</v>
      </c>
      <c r="G501" s="99" t="s">
        <v>39</v>
      </c>
      <c r="H501" s="100" t="s">
        <v>114</v>
      </c>
      <c r="I501" s="100"/>
      <c r="J501" s="96"/>
      <c r="K501" s="96"/>
      <c r="L501" s="96" t="s">
        <v>4300</v>
      </c>
      <c r="M501" s="96"/>
      <c r="N501" s="100" t="s">
        <v>119</v>
      </c>
      <c r="O501" s="96"/>
      <c r="P501" s="96" t="s">
        <v>7922</v>
      </c>
      <c r="Q501" s="101">
        <v>50.242803100000003</v>
      </c>
      <c r="R501" s="101">
        <v>12.8372633</v>
      </c>
      <c r="S501" s="100" t="s">
        <v>7447</v>
      </c>
      <c r="T501" s="103" t="s">
        <v>573</v>
      </c>
      <c r="U501" s="103" t="s">
        <v>574</v>
      </c>
      <c r="V501" s="103" t="s">
        <v>574</v>
      </c>
      <c r="W501" s="103" t="s">
        <v>574</v>
      </c>
    </row>
    <row r="502" spans="1:23" ht="15.75" customHeight="1">
      <c r="A502" s="96">
        <v>515</v>
      </c>
      <c r="B502" s="97" t="s">
        <v>99</v>
      </c>
      <c r="C502" s="96" t="s">
        <v>4302</v>
      </c>
      <c r="D502" s="96" t="s">
        <v>4302</v>
      </c>
      <c r="E502" s="96" t="s">
        <v>331</v>
      </c>
      <c r="F502" s="96" t="s">
        <v>4303</v>
      </c>
      <c r="G502" s="99" t="s">
        <v>39</v>
      </c>
      <c r="H502" s="100" t="s">
        <v>114</v>
      </c>
      <c r="I502" s="100"/>
      <c r="J502" s="102" t="s">
        <v>4304</v>
      </c>
      <c r="K502" s="96" t="s">
        <v>4305</v>
      </c>
      <c r="L502" s="96" t="s">
        <v>4306</v>
      </c>
      <c r="M502" s="96" t="s">
        <v>4307</v>
      </c>
      <c r="N502" s="96" t="s">
        <v>4308</v>
      </c>
      <c r="O502" s="96"/>
      <c r="P502" s="96" t="s">
        <v>7454</v>
      </c>
      <c r="Q502" s="106">
        <v>49.948329999999999</v>
      </c>
      <c r="R502" s="106">
        <v>15.264805000000001</v>
      </c>
      <c r="S502" s="100" t="s">
        <v>7447</v>
      </c>
      <c r="T502" s="103" t="s">
        <v>71</v>
      </c>
      <c r="U502" s="103" t="s">
        <v>331</v>
      </c>
      <c r="V502" s="103" t="s">
        <v>331</v>
      </c>
      <c r="W502" s="103" t="s">
        <v>331</v>
      </c>
    </row>
    <row r="503" spans="1:23" ht="15.75" customHeight="1">
      <c r="A503" s="96">
        <v>518</v>
      </c>
      <c r="B503" s="97" t="s">
        <v>99</v>
      </c>
      <c r="C503" s="96" t="s">
        <v>4320</v>
      </c>
      <c r="D503" s="96" t="s">
        <v>4320</v>
      </c>
      <c r="E503" s="96" t="s">
        <v>419</v>
      </c>
      <c r="F503" s="96" t="s">
        <v>4321</v>
      </c>
      <c r="G503" s="99" t="s">
        <v>39</v>
      </c>
      <c r="H503" s="100" t="s">
        <v>114</v>
      </c>
      <c r="I503" s="100"/>
      <c r="J503" s="102" t="s">
        <v>4323</v>
      </c>
      <c r="K503" s="96" t="s">
        <v>4324</v>
      </c>
      <c r="L503" s="96" t="s">
        <v>4325</v>
      </c>
      <c r="M503" s="96" t="s">
        <v>4326</v>
      </c>
      <c r="N503" s="100" t="s">
        <v>119</v>
      </c>
      <c r="O503" s="96"/>
      <c r="P503" s="96" t="s">
        <v>4328</v>
      </c>
      <c r="Q503" s="101">
        <v>50.077109399999998</v>
      </c>
      <c r="R503" s="98">
        <v>14.4428611</v>
      </c>
      <c r="S503" s="100" t="s">
        <v>7447</v>
      </c>
      <c r="T503" s="103" t="s">
        <v>58</v>
      </c>
      <c r="U503" s="103" t="s">
        <v>58</v>
      </c>
      <c r="V503" s="103" t="s">
        <v>58</v>
      </c>
      <c r="W503" s="103" t="s">
        <v>59</v>
      </c>
    </row>
    <row r="504" spans="1:23" ht="15.75" customHeight="1">
      <c r="A504" s="96">
        <v>519</v>
      </c>
      <c r="B504" s="97" t="s">
        <v>99</v>
      </c>
      <c r="C504" s="96" t="s">
        <v>4329</v>
      </c>
      <c r="D504" s="96" t="s">
        <v>4329</v>
      </c>
      <c r="E504" s="96" t="s">
        <v>98</v>
      </c>
      <c r="F504" s="98" t="s">
        <v>4331</v>
      </c>
      <c r="G504" s="99" t="s">
        <v>39</v>
      </c>
      <c r="H504" s="100" t="s">
        <v>103</v>
      </c>
      <c r="I504" s="100"/>
      <c r="J504" s="102" t="str">
        <f>HYPERLINK("http://dobre-pivo.cz","http://dobre-pivo.cz")</f>
        <v>http://dobre-pivo.cz</v>
      </c>
      <c r="K504" s="102" t="s">
        <v>4332</v>
      </c>
      <c r="L504" s="96" t="s">
        <v>4333</v>
      </c>
      <c r="M504" s="96" t="s">
        <v>4334</v>
      </c>
      <c r="N504" s="100" t="s">
        <v>4926</v>
      </c>
      <c r="O504" s="107" t="s">
        <v>4928</v>
      </c>
      <c r="P504" s="96" t="s">
        <v>7923</v>
      </c>
      <c r="Q504" s="101">
        <v>49.069559699999999</v>
      </c>
      <c r="R504" s="101">
        <v>17.458804199999999</v>
      </c>
      <c r="S504" s="100" t="s">
        <v>52</v>
      </c>
      <c r="T504" s="103" t="s">
        <v>97</v>
      </c>
      <c r="U504" s="103" t="s">
        <v>98</v>
      </c>
      <c r="V504" s="103" t="s">
        <v>98</v>
      </c>
      <c r="W504" s="103" t="s">
        <v>98</v>
      </c>
    </row>
    <row r="505" spans="1:23" ht="15.75" customHeight="1">
      <c r="A505" s="96">
        <v>521</v>
      </c>
      <c r="B505" s="97" t="s">
        <v>99</v>
      </c>
      <c r="C505" s="96" t="s">
        <v>4342</v>
      </c>
      <c r="D505" s="96" t="s">
        <v>4342</v>
      </c>
      <c r="E505" s="96" t="s">
        <v>259</v>
      </c>
      <c r="F505" s="96" t="s">
        <v>4343</v>
      </c>
      <c r="G505" s="99" t="s">
        <v>39</v>
      </c>
      <c r="H505" s="100" t="s">
        <v>114</v>
      </c>
      <c r="I505" s="100"/>
      <c r="J505" s="96"/>
      <c r="K505" s="96" t="s">
        <v>4344</v>
      </c>
      <c r="L505" s="96" t="s">
        <v>4345</v>
      </c>
      <c r="M505" s="96"/>
      <c r="N505" s="100" t="s">
        <v>119</v>
      </c>
      <c r="O505" s="96"/>
      <c r="P505" s="96" t="s">
        <v>7924</v>
      </c>
      <c r="Q505" s="101">
        <v>49.676199400000002</v>
      </c>
      <c r="R505" s="101">
        <v>18.3338869</v>
      </c>
      <c r="S505" s="100" t="s">
        <v>7447</v>
      </c>
      <c r="T505" s="103" t="s">
        <v>121</v>
      </c>
      <c r="U505" s="103" t="s">
        <v>259</v>
      </c>
      <c r="V505" s="103" t="s">
        <v>259</v>
      </c>
      <c r="W505" s="103" t="s">
        <v>259</v>
      </c>
    </row>
    <row r="506" spans="1:23" ht="15.75" customHeight="1">
      <c r="A506" s="96">
        <v>522</v>
      </c>
      <c r="B506" s="97" t="s">
        <v>99</v>
      </c>
      <c r="C506" s="96" t="s">
        <v>4347</v>
      </c>
      <c r="D506" s="96" t="s">
        <v>4347</v>
      </c>
      <c r="E506" s="96" t="s">
        <v>208</v>
      </c>
      <c r="F506" s="96" t="s">
        <v>4348</v>
      </c>
      <c r="G506" s="99" t="s">
        <v>39</v>
      </c>
      <c r="H506" s="100" t="s">
        <v>114</v>
      </c>
      <c r="I506" s="100"/>
      <c r="J506" s="96"/>
      <c r="K506" s="96" t="s">
        <v>4349</v>
      </c>
      <c r="L506" s="96" t="s">
        <v>4350</v>
      </c>
      <c r="M506" s="96" t="s">
        <v>4111</v>
      </c>
      <c r="N506" s="100" t="s">
        <v>119</v>
      </c>
      <c r="O506" s="96"/>
      <c r="P506" s="96" t="s">
        <v>7925</v>
      </c>
      <c r="Q506" s="101">
        <v>50.194783299999997</v>
      </c>
      <c r="R506" s="101">
        <v>15.8406903</v>
      </c>
      <c r="S506" s="100" t="s">
        <v>7447</v>
      </c>
      <c r="T506" s="103" t="s">
        <v>207</v>
      </c>
      <c r="U506" s="103" t="s">
        <v>208</v>
      </c>
      <c r="V506" s="103" t="s">
        <v>208</v>
      </c>
      <c r="W506" s="103" t="s">
        <v>208</v>
      </c>
    </row>
    <row r="507" spans="1:23" ht="15.75" customHeight="1">
      <c r="A507" s="96">
        <v>523</v>
      </c>
      <c r="B507" s="97" t="s">
        <v>99</v>
      </c>
      <c r="C507" s="96" t="s">
        <v>4352</v>
      </c>
      <c r="D507" s="96" t="s">
        <v>4352</v>
      </c>
      <c r="E507" s="96" t="s">
        <v>1018</v>
      </c>
      <c r="F507" s="96" t="s">
        <v>4354</v>
      </c>
      <c r="G507" s="99" t="s">
        <v>39</v>
      </c>
      <c r="H507" s="100" t="s">
        <v>103</v>
      </c>
      <c r="I507" s="100"/>
      <c r="J507" s="96" t="s">
        <v>4355</v>
      </c>
      <c r="K507" s="96" t="s">
        <v>4356</v>
      </c>
      <c r="L507" s="96" t="s">
        <v>4357</v>
      </c>
      <c r="M507" s="96" t="s">
        <v>4358</v>
      </c>
      <c r="N507" s="100" t="s">
        <v>4945</v>
      </c>
      <c r="O507" s="96"/>
      <c r="P507" s="96" t="s">
        <v>7926</v>
      </c>
      <c r="Q507" s="101">
        <v>49.190071699999997</v>
      </c>
      <c r="R507" s="101">
        <v>16.583003099999999</v>
      </c>
      <c r="S507" s="100" t="s">
        <v>7447</v>
      </c>
      <c r="T507" s="103" t="s">
        <v>325</v>
      </c>
      <c r="U507" s="103" t="s">
        <v>1017</v>
      </c>
      <c r="V507" s="103" t="s">
        <v>1018</v>
      </c>
      <c r="W507" s="103" t="s">
        <v>1018</v>
      </c>
    </row>
    <row r="508" spans="1:23" ht="15.75" customHeight="1">
      <c r="A508" s="96">
        <v>524</v>
      </c>
      <c r="B508" s="97" t="s">
        <v>99</v>
      </c>
      <c r="C508" s="96" t="s">
        <v>4361</v>
      </c>
      <c r="D508" s="96" t="s">
        <v>4361</v>
      </c>
      <c r="E508" s="96" t="s">
        <v>256</v>
      </c>
      <c r="F508" s="96" t="s">
        <v>4362</v>
      </c>
      <c r="G508" s="99" t="s">
        <v>39</v>
      </c>
      <c r="H508" s="100" t="s">
        <v>114</v>
      </c>
      <c r="I508" s="100"/>
      <c r="J508" s="96" t="s">
        <v>4363</v>
      </c>
      <c r="K508" s="96" t="s">
        <v>4364</v>
      </c>
      <c r="L508" s="96" t="s">
        <v>4365</v>
      </c>
      <c r="M508" s="96"/>
      <c r="N508" s="100" t="s">
        <v>119</v>
      </c>
      <c r="O508" s="96"/>
      <c r="P508" s="96" t="s">
        <v>7927</v>
      </c>
      <c r="Q508" s="101">
        <v>48.755156100000001</v>
      </c>
      <c r="R508" s="101">
        <v>16.8898242</v>
      </c>
      <c r="S508" s="100" t="s">
        <v>7447</v>
      </c>
      <c r="T508" s="103" t="s">
        <v>325</v>
      </c>
      <c r="U508" s="103" t="s">
        <v>256</v>
      </c>
      <c r="V508" s="103" t="s">
        <v>256</v>
      </c>
      <c r="W508" s="103" t="s">
        <v>256</v>
      </c>
    </row>
    <row r="509" spans="1:23" ht="15.75" customHeight="1">
      <c r="A509" s="96">
        <v>525</v>
      </c>
      <c r="B509" s="97" t="s">
        <v>99</v>
      </c>
      <c r="C509" s="96" t="s">
        <v>4367</v>
      </c>
      <c r="D509" s="96" t="s">
        <v>4367</v>
      </c>
      <c r="E509" s="96" t="s">
        <v>59</v>
      </c>
      <c r="F509" s="96" t="s">
        <v>4369</v>
      </c>
      <c r="G509" s="99" t="s">
        <v>39</v>
      </c>
      <c r="H509" s="100" t="s">
        <v>103</v>
      </c>
      <c r="I509" s="100"/>
      <c r="J509" s="96" t="s">
        <v>4370</v>
      </c>
      <c r="K509" s="96" t="s">
        <v>4371</v>
      </c>
      <c r="L509" s="96" t="s">
        <v>4372</v>
      </c>
      <c r="M509" s="96" t="s">
        <v>4373</v>
      </c>
      <c r="N509" s="96" t="s">
        <v>4368</v>
      </c>
      <c r="O509" s="96"/>
      <c r="P509" s="96" t="s">
        <v>7928</v>
      </c>
      <c r="Q509" s="108">
        <v>50.068107500000004</v>
      </c>
      <c r="R509" s="108">
        <v>14.436245</v>
      </c>
      <c r="S509" s="100" t="s">
        <v>7447</v>
      </c>
      <c r="T509" s="103" t="s">
        <v>58</v>
      </c>
      <c r="U509" s="103" t="s">
        <v>58</v>
      </c>
      <c r="V509" s="103" t="s">
        <v>58</v>
      </c>
      <c r="W509" s="103" t="s">
        <v>59</v>
      </c>
    </row>
    <row r="510" spans="1:23" ht="15.75" customHeight="1">
      <c r="A510" s="96">
        <v>526</v>
      </c>
      <c r="B510" s="97" t="s">
        <v>99</v>
      </c>
      <c r="C510" s="96" t="s">
        <v>4375</v>
      </c>
      <c r="D510" s="96" t="s">
        <v>4375</v>
      </c>
      <c r="E510" s="96" t="s">
        <v>892</v>
      </c>
      <c r="F510" s="96" t="s">
        <v>4376</v>
      </c>
      <c r="G510" s="99" t="s">
        <v>39</v>
      </c>
      <c r="H510" s="100" t="s">
        <v>114</v>
      </c>
      <c r="I510" s="100"/>
      <c r="J510" s="102" t="s">
        <v>4377</v>
      </c>
      <c r="K510" s="96" t="s">
        <v>4379</v>
      </c>
      <c r="L510" s="96" t="s">
        <v>4380</v>
      </c>
      <c r="M510" s="96" t="s">
        <v>4111</v>
      </c>
      <c r="N510" s="100" t="s">
        <v>119</v>
      </c>
      <c r="O510" s="96"/>
      <c r="P510" s="96" t="s">
        <v>7455</v>
      </c>
      <c r="Q510" s="106">
        <v>49.207458899999999</v>
      </c>
      <c r="R510" s="106">
        <v>16.694759999999999</v>
      </c>
      <c r="S510" s="100" t="s">
        <v>7447</v>
      </c>
      <c r="T510" s="103" t="s">
        <v>325</v>
      </c>
      <c r="U510" s="103" t="s">
        <v>1017</v>
      </c>
      <c r="V510" s="103" t="s">
        <v>1018</v>
      </c>
      <c r="W510" s="103" t="s">
        <v>1018</v>
      </c>
    </row>
    <row r="511" spans="1:23" ht="15.75" customHeight="1">
      <c r="A511" s="96">
        <v>530</v>
      </c>
      <c r="B511" s="97" t="s">
        <v>99</v>
      </c>
      <c r="C511" s="96" t="s">
        <v>4399</v>
      </c>
      <c r="D511" s="96" t="s">
        <v>4399</v>
      </c>
      <c r="E511" s="96" t="s">
        <v>1140</v>
      </c>
      <c r="F511" s="96" t="s">
        <v>4400</v>
      </c>
      <c r="G511" s="99" t="s">
        <v>39</v>
      </c>
      <c r="H511" s="100" t="s">
        <v>114</v>
      </c>
      <c r="I511" s="100"/>
      <c r="J511" s="96" t="s">
        <v>4401</v>
      </c>
      <c r="K511" s="96" t="s">
        <v>4402</v>
      </c>
      <c r="L511" s="96" t="s">
        <v>4403</v>
      </c>
      <c r="M511" s="96"/>
      <c r="N511" s="96" t="s">
        <v>4404</v>
      </c>
      <c r="O511" s="96"/>
      <c r="P511" s="96" t="s">
        <v>7929</v>
      </c>
      <c r="Q511" s="118">
        <v>49.748069399999999</v>
      </c>
      <c r="R511" s="118">
        <v>13.3783089</v>
      </c>
      <c r="S511" s="100" t="s">
        <v>7447</v>
      </c>
      <c r="T511" s="103" t="s">
        <v>217</v>
      </c>
      <c r="U511" s="103" t="s">
        <v>1139</v>
      </c>
      <c r="V511" s="103" t="s">
        <v>1140</v>
      </c>
      <c r="W511" s="103" t="s">
        <v>1140</v>
      </c>
    </row>
    <row r="512" spans="1:23" ht="15.75" customHeight="1">
      <c r="A512" s="96">
        <v>531</v>
      </c>
      <c r="B512" s="97" t="s">
        <v>99</v>
      </c>
      <c r="C512" s="96" t="s">
        <v>4407</v>
      </c>
      <c r="D512" s="96" t="s">
        <v>4407</v>
      </c>
      <c r="E512" s="96" t="s">
        <v>419</v>
      </c>
      <c r="F512" s="96" t="s">
        <v>4408</v>
      </c>
      <c r="G512" s="99" t="s">
        <v>39</v>
      </c>
      <c r="H512" s="100" t="s">
        <v>114</v>
      </c>
      <c r="I512" s="100"/>
      <c r="J512" s="96" t="s">
        <v>4409</v>
      </c>
      <c r="K512" s="96" t="s">
        <v>4410</v>
      </c>
      <c r="L512" s="96" t="s">
        <v>4411</v>
      </c>
      <c r="M512" s="96" t="s">
        <v>4412</v>
      </c>
      <c r="N512" s="100" t="s">
        <v>4815</v>
      </c>
      <c r="O512" s="96"/>
      <c r="P512" s="96" t="s">
        <v>7930</v>
      </c>
      <c r="Q512" s="101">
        <v>50.091251100000001</v>
      </c>
      <c r="R512" s="101">
        <v>14.4311139</v>
      </c>
      <c r="S512" s="100" t="s">
        <v>7447</v>
      </c>
      <c r="T512" s="103" t="s">
        <v>58</v>
      </c>
      <c r="U512" s="103" t="s">
        <v>58</v>
      </c>
      <c r="V512" s="103" t="s">
        <v>58</v>
      </c>
      <c r="W512" s="103" t="s">
        <v>59</v>
      </c>
    </row>
    <row r="513" spans="1:23" ht="15.75" customHeight="1">
      <c r="A513" s="96">
        <v>533</v>
      </c>
      <c r="B513" s="97" t="s">
        <v>99</v>
      </c>
      <c r="C513" s="96" t="s">
        <v>4418</v>
      </c>
      <c r="D513" s="96" t="s">
        <v>4418</v>
      </c>
      <c r="E513" s="96" t="s">
        <v>1018</v>
      </c>
      <c r="F513" s="96" t="s">
        <v>4419</v>
      </c>
      <c r="G513" s="99" t="s">
        <v>39</v>
      </c>
      <c r="H513" s="100" t="s">
        <v>114</v>
      </c>
      <c r="I513" s="100"/>
      <c r="J513" s="96"/>
      <c r="K513" s="96" t="s">
        <v>4420</v>
      </c>
      <c r="L513" s="96" t="s">
        <v>4421</v>
      </c>
      <c r="M513" s="96"/>
      <c r="N513" s="100" t="s">
        <v>119</v>
      </c>
      <c r="O513" s="96"/>
      <c r="P513" s="96" t="s">
        <v>7931</v>
      </c>
      <c r="Q513" s="101">
        <v>49.2030569</v>
      </c>
      <c r="R513" s="101">
        <v>16.596980599999998</v>
      </c>
      <c r="S513" s="100" t="s">
        <v>7447</v>
      </c>
      <c r="T513" s="103" t="s">
        <v>325</v>
      </c>
      <c r="U513" s="103" t="s">
        <v>1017</v>
      </c>
      <c r="V513" s="103" t="s">
        <v>1018</v>
      </c>
      <c r="W513" s="103" t="s">
        <v>1018</v>
      </c>
    </row>
    <row r="514" spans="1:23" ht="15.75" customHeight="1">
      <c r="A514" s="96">
        <v>535</v>
      </c>
      <c r="B514" s="97" t="s">
        <v>99</v>
      </c>
      <c r="C514" s="96" t="s">
        <v>2701</v>
      </c>
      <c r="D514" s="96" t="s">
        <v>2701</v>
      </c>
      <c r="E514" s="96" t="s">
        <v>2696</v>
      </c>
      <c r="F514" s="96" t="s">
        <v>4428</v>
      </c>
      <c r="G514" s="99" t="s">
        <v>39</v>
      </c>
      <c r="H514" s="100" t="s">
        <v>103</v>
      </c>
      <c r="I514" s="100"/>
      <c r="J514" s="102" t="s">
        <v>4429</v>
      </c>
      <c r="K514" s="96" t="s">
        <v>4430</v>
      </c>
      <c r="L514" s="96" t="s">
        <v>2698</v>
      </c>
      <c r="M514" s="96" t="s">
        <v>4111</v>
      </c>
      <c r="N514" s="96" t="s">
        <v>2694</v>
      </c>
      <c r="O514" s="107" t="s">
        <v>5044</v>
      </c>
      <c r="P514" s="96" t="s">
        <v>7932</v>
      </c>
      <c r="Q514" s="101">
        <v>48.882663299999997</v>
      </c>
      <c r="R514" s="101">
        <v>17.5197289</v>
      </c>
      <c r="S514" s="100" t="s">
        <v>52</v>
      </c>
      <c r="T514" s="103" t="s">
        <v>325</v>
      </c>
      <c r="U514" s="103" t="s">
        <v>819</v>
      </c>
      <c r="V514" s="103" t="s">
        <v>3093</v>
      </c>
      <c r="W514" s="103" t="s">
        <v>2696</v>
      </c>
    </row>
    <row r="515" spans="1:23" ht="15.75" customHeight="1">
      <c r="A515" s="96">
        <v>537</v>
      </c>
      <c r="B515" s="97" t="s">
        <v>99</v>
      </c>
      <c r="C515" s="96" t="s">
        <v>4437</v>
      </c>
      <c r="D515" s="96" t="s">
        <v>4437</v>
      </c>
      <c r="E515" s="96" t="s">
        <v>59</v>
      </c>
      <c r="F515" s="96" t="s">
        <v>4438</v>
      </c>
      <c r="G515" s="99" t="s">
        <v>39</v>
      </c>
      <c r="H515" s="100" t="s">
        <v>103</v>
      </c>
      <c r="I515" s="100"/>
      <c r="J515" s="96"/>
      <c r="K515" s="96" t="s">
        <v>4439</v>
      </c>
      <c r="L515" s="96" t="s">
        <v>2445</v>
      </c>
      <c r="M515" s="96"/>
      <c r="N515" s="96" t="s">
        <v>2441</v>
      </c>
      <c r="O515" s="96"/>
      <c r="P515" s="96" t="s">
        <v>7933</v>
      </c>
      <c r="Q515" s="108">
        <v>50.091310800000002</v>
      </c>
      <c r="R515" s="108">
        <v>14.430220800000001</v>
      </c>
      <c r="S515" s="100" t="s">
        <v>7447</v>
      </c>
      <c r="T515" s="103" t="s">
        <v>58</v>
      </c>
      <c r="U515" s="103" t="s">
        <v>58</v>
      </c>
      <c r="V515" s="103" t="s">
        <v>58</v>
      </c>
      <c r="W515" s="103" t="s">
        <v>59</v>
      </c>
    </row>
    <row r="516" spans="1:23" ht="15.75" customHeight="1">
      <c r="A516" s="96">
        <v>540</v>
      </c>
      <c r="B516" s="97" t="s">
        <v>99</v>
      </c>
      <c r="C516" s="96" t="s">
        <v>4450</v>
      </c>
      <c r="D516" s="96" t="s">
        <v>4450</v>
      </c>
      <c r="E516" s="96" t="s">
        <v>555</v>
      </c>
      <c r="F516" s="96" t="s">
        <v>4451</v>
      </c>
      <c r="G516" s="99" t="s">
        <v>39</v>
      </c>
      <c r="H516" s="100" t="s">
        <v>103</v>
      </c>
      <c r="I516" s="100"/>
      <c r="J516" s="96" t="s">
        <v>4452</v>
      </c>
      <c r="K516" s="96"/>
      <c r="L516" s="96" t="s">
        <v>3178</v>
      </c>
      <c r="M516" s="96"/>
      <c r="N516" s="96" t="s">
        <v>3176</v>
      </c>
      <c r="O516" s="96"/>
      <c r="P516" s="96" t="s">
        <v>4453</v>
      </c>
      <c r="Q516" s="108">
        <v>48.854278600000001</v>
      </c>
      <c r="R516" s="108">
        <v>16.0486678</v>
      </c>
      <c r="S516" s="100" t="s">
        <v>7447</v>
      </c>
      <c r="T516" s="103" t="s">
        <v>325</v>
      </c>
      <c r="U516" s="103" t="s">
        <v>555</v>
      </c>
      <c r="V516" s="103" t="s">
        <v>555</v>
      </c>
      <c r="W516" s="103" t="s">
        <v>555</v>
      </c>
    </row>
    <row r="517" spans="1:23" ht="15.75" customHeight="1">
      <c r="A517" s="96">
        <v>542</v>
      </c>
      <c r="B517" s="97" t="s">
        <v>99</v>
      </c>
      <c r="C517" s="98" t="s">
        <v>4459</v>
      </c>
      <c r="D517" s="98" t="s">
        <v>4459</v>
      </c>
      <c r="E517" s="96" t="s">
        <v>4460</v>
      </c>
      <c r="F517" s="96" t="s">
        <v>4461</v>
      </c>
      <c r="G517" s="99" t="s">
        <v>39</v>
      </c>
      <c r="H517" s="100" t="s">
        <v>114</v>
      </c>
      <c r="I517" s="100"/>
      <c r="J517" s="102" t="s">
        <v>4462</v>
      </c>
      <c r="K517" s="96" t="s">
        <v>4463</v>
      </c>
      <c r="L517" s="96" t="s">
        <v>4464</v>
      </c>
      <c r="M517" s="96"/>
      <c r="N517" s="96" t="s">
        <v>4465</v>
      </c>
      <c r="O517" s="96"/>
      <c r="P517" s="96" t="s">
        <v>7456</v>
      </c>
      <c r="Q517" s="101">
        <v>50.141139199999998</v>
      </c>
      <c r="R517" s="101">
        <v>14.432517199999999</v>
      </c>
      <c r="S517" s="100" t="s">
        <v>7447</v>
      </c>
      <c r="T517" s="103" t="s">
        <v>58</v>
      </c>
      <c r="U517" s="103" t="s">
        <v>58</v>
      </c>
      <c r="V517" s="103" t="s">
        <v>58</v>
      </c>
      <c r="W517" s="103" t="s">
        <v>59</v>
      </c>
    </row>
    <row r="518" spans="1:23" ht="15.75" customHeight="1">
      <c r="A518" s="96">
        <v>544</v>
      </c>
      <c r="B518" s="97" t="s">
        <v>99</v>
      </c>
      <c r="C518" s="96" t="s">
        <v>4471</v>
      </c>
      <c r="D518" s="96" t="s">
        <v>4471</v>
      </c>
      <c r="E518" s="96" t="s">
        <v>419</v>
      </c>
      <c r="F518" s="96" t="s">
        <v>4472</v>
      </c>
      <c r="G518" s="99" t="s">
        <v>39</v>
      </c>
      <c r="H518" s="100" t="s">
        <v>114</v>
      </c>
      <c r="I518" s="100"/>
      <c r="J518" s="96" t="s">
        <v>4473</v>
      </c>
      <c r="K518" s="96" t="s">
        <v>4474</v>
      </c>
      <c r="L518" s="96" t="s">
        <v>4475</v>
      </c>
      <c r="M518" s="96" t="s">
        <v>118</v>
      </c>
      <c r="N518" s="100" t="s">
        <v>119</v>
      </c>
      <c r="O518" s="96"/>
      <c r="P518" s="96" t="s">
        <v>7934</v>
      </c>
      <c r="Q518" s="101">
        <v>50.0783919</v>
      </c>
      <c r="R518" s="101">
        <v>14.4269</v>
      </c>
      <c r="S518" s="100" t="s">
        <v>7447</v>
      </c>
      <c r="T518" s="103" t="s">
        <v>58</v>
      </c>
      <c r="U518" s="103" t="s">
        <v>58</v>
      </c>
      <c r="V518" s="103" t="s">
        <v>58</v>
      </c>
      <c r="W518" s="103" t="s">
        <v>59</v>
      </c>
    </row>
    <row r="519" spans="1:23" ht="15.75" customHeight="1">
      <c r="A519" s="96">
        <v>545</v>
      </c>
      <c r="B519" s="97" t="s">
        <v>99</v>
      </c>
      <c r="C519" s="96" t="s">
        <v>4477</v>
      </c>
      <c r="D519" s="96" t="s">
        <v>4477</v>
      </c>
      <c r="E519" s="96" t="s">
        <v>1018</v>
      </c>
      <c r="F519" s="96" t="s">
        <v>4478</v>
      </c>
      <c r="G519" s="99" t="s">
        <v>39</v>
      </c>
      <c r="H519" s="100" t="s">
        <v>103</v>
      </c>
      <c r="I519" s="100"/>
      <c r="J519" s="96"/>
      <c r="K519" s="96" t="s">
        <v>4479</v>
      </c>
      <c r="L519" s="96" t="s">
        <v>3594</v>
      </c>
      <c r="M519" s="96" t="s">
        <v>4111</v>
      </c>
      <c r="N519" s="96" t="s">
        <v>3592</v>
      </c>
      <c r="O519" s="96"/>
      <c r="P519" s="96" t="s">
        <v>7935</v>
      </c>
      <c r="Q519" s="108">
        <v>49.2005622</v>
      </c>
      <c r="R519" s="108">
        <v>16.596065299999999</v>
      </c>
      <c r="S519" s="100" t="s">
        <v>7447</v>
      </c>
      <c r="T519" s="103" t="s">
        <v>325</v>
      </c>
      <c r="U519" s="103" t="s">
        <v>1017</v>
      </c>
      <c r="V519" s="103" t="s">
        <v>1018</v>
      </c>
      <c r="W519" s="103" t="s">
        <v>1018</v>
      </c>
    </row>
    <row r="520" spans="1:23" ht="15.75" customHeight="1">
      <c r="A520" s="96">
        <v>546</v>
      </c>
      <c r="B520" s="97" t="s">
        <v>99</v>
      </c>
      <c r="C520" s="110" t="s">
        <v>4481</v>
      </c>
      <c r="D520" s="110" t="s">
        <v>4481</v>
      </c>
      <c r="E520" s="96" t="s">
        <v>4482</v>
      </c>
      <c r="F520" s="96" t="s">
        <v>4483</v>
      </c>
      <c r="G520" s="99" t="s">
        <v>39</v>
      </c>
      <c r="H520" s="100" t="s">
        <v>114</v>
      </c>
      <c r="I520" s="100"/>
      <c r="J520" s="102" t="s">
        <v>4484</v>
      </c>
      <c r="K520" s="96" t="s">
        <v>4485</v>
      </c>
      <c r="L520" s="96" t="s">
        <v>4486</v>
      </c>
      <c r="M520" s="96" t="s">
        <v>4487</v>
      </c>
      <c r="N520" s="100" t="s">
        <v>5147</v>
      </c>
      <c r="O520" s="96"/>
      <c r="P520" s="96" t="s">
        <v>7457</v>
      </c>
      <c r="Q520" s="101">
        <v>49.188470299999999</v>
      </c>
      <c r="R520" s="101">
        <v>16.534628099999999</v>
      </c>
      <c r="S520" s="100" t="s">
        <v>7447</v>
      </c>
      <c r="T520" s="103" t="s">
        <v>325</v>
      </c>
      <c r="U520" s="103" t="s">
        <v>1017</v>
      </c>
      <c r="V520" s="103" t="s">
        <v>1018</v>
      </c>
      <c r="W520" s="103" t="s">
        <v>1018</v>
      </c>
    </row>
    <row r="521" spans="1:23" ht="15.75" customHeight="1">
      <c r="A521" s="96">
        <v>548</v>
      </c>
      <c r="B521" s="97" t="s">
        <v>99</v>
      </c>
      <c r="C521" s="96" t="s">
        <v>4496</v>
      </c>
      <c r="D521" s="96" t="s">
        <v>4496</v>
      </c>
      <c r="E521" s="96" t="s">
        <v>2593</v>
      </c>
      <c r="F521" s="96" t="s">
        <v>4498</v>
      </c>
      <c r="G521" s="99" t="s">
        <v>39</v>
      </c>
      <c r="H521" s="100" t="s">
        <v>103</v>
      </c>
      <c r="I521" s="100"/>
      <c r="J521" s="96" t="s">
        <v>4499</v>
      </c>
      <c r="K521" s="96"/>
      <c r="L521" s="96" t="s">
        <v>2595</v>
      </c>
      <c r="M521" s="96"/>
      <c r="N521" s="96" t="s">
        <v>2591</v>
      </c>
      <c r="O521" s="96"/>
      <c r="P521" s="96" t="s">
        <v>7936</v>
      </c>
      <c r="Q521" s="108">
        <v>49.763063299999999</v>
      </c>
      <c r="R521" s="108">
        <v>18.238115799999999</v>
      </c>
      <c r="S521" s="100" t="s">
        <v>52</v>
      </c>
      <c r="T521" s="103" t="s">
        <v>121</v>
      </c>
      <c r="U521" s="103" t="s">
        <v>122</v>
      </c>
      <c r="V521" s="103" t="s">
        <v>123</v>
      </c>
      <c r="W521" s="103" t="s">
        <v>123</v>
      </c>
    </row>
    <row r="522" spans="1:23" ht="15.75" customHeight="1">
      <c r="A522" s="96">
        <v>550</v>
      </c>
      <c r="B522" s="97" t="s">
        <v>99</v>
      </c>
      <c r="C522" s="98" t="s">
        <v>4506</v>
      </c>
      <c r="D522" s="98" t="s">
        <v>4506</v>
      </c>
      <c r="E522" s="96" t="s">
        <v>1140</v>
      </c>
      <c r="F522" s="96" t="s">
        <v>4507</v>
      </c>
      <c r="G522" s="99" t="s">
        <v>39</v>
      </c>
      <c r="H522" s="100" t="s">
        <v>114</v>
      </c>
      <c r="I522" s="100"/>
      <c r="J522" s="96" t="s">
        <v>4508</v>
      </c>
      <c r="K522" s="96"/>
      <c r="L522" s="96" t="s">
        <v>4509</v>
      </c>
      <c r="M522" s="96" t="s">
        <v>118</v>
      </c>
      <c r="N522" s="100" t="s">
        <v>119</v>
      </c>
      <c r="O522" s="96"/>
      <c r="P522" s="96" t="s">
        <v>7458</v>
      </c>
      <c r="Q522" s="101">
        <v>49.745328100000002</v>
      </c>
      <c r="R522" s="101">
        <v>13.3865228</v>
      </c>
      <c r="S522" s="100" t="s">
        <v>7447</v>
      </c>
      <c r="T522" s="103" t="s">
        <v>217</v>
      </c>
      <c r="U522" s="103" t="s">
        <v>1139</v>
      </c>
      <c r="V522" s="103" t="s">
        <v>1140</v>
      </c>
      <c r="W522" s="103" t="s">
        <v>1140</v>
      </c>
    </row>
    <row r="523" spans="1:23" ht="15.75" customHeight="1">
      <c r="A523" s="96">
        <v>551</v>
      </c>
      <c r="B523" s="97" t="s">
        <v>99</v>
      </c>
      <c r="C523" s="96" t="s">
        <v>4506</v>
      </c>
      <c r="D523" s="96" t="s">
        <v>4506</v>
      </c>
      <c r="E523" s="96" t="s">
        <v>298</v>
      </c>
      <c r="F523" s="96" t="s">
        <v>4511</v>
      </c>
      <c r="G523" s="99" t="s">
        <v>39</v>
      </c>
      <c r="H523" s="100" t="s">
        <v>114</v>
      </c>
      <c r="I523" s="100"/>
      <c r="J523" s="96" t="s">
        <v>4512</v>
      </c>
      <c r="K523" s="96" t="s">
        <v>4513</v>
      </c>
      <c r="L523" s="96" t="s">
        <v>4514</v>
      </c>
      <c r="M523" s="96" t="s">
        <v>4111</v>
      </c>
      <c r="N523" s="100" t="s">
        <v>119</v>
      </c>
      <c r="O523" s="96"/>
      <c r="P523" s="96" t="s">
        <v>7937</v>
      </c>
      <c r="Q523" s="101">
        <v>48.982759199999997</v>
      </c>
      <c r="R523" s="101">
        <v>14.454968600000001</v>
      </c>
      <c r="S523" s="100" t="s">
        <v>7447</v>
      </c>
      <c r="T523" s="103" t="s">
        <v>369</v>
      </c>
      <c r="U523" s="103" t="s">
        <v>298</v>
      </c>
      <c r="V523" s="103" t="s">
        <v>298</v>
      </c>
      <c r="W523" s="103" t="s">
        <v>298</v>
      </c>
    </row>
    <row r="524" spans="1:23" ht="15.75" customHeight="1">
      <c r="A524" s="96">
        <v>588</v>
      </c>
      <c r="B524" s="97" t="s">
        <v>99</v>
      </c>
      <c r="C524" s="98" t="s">
        <v>4703</v>
      </c>
      <c r="D524" s="98" t="s">
        <v>4703</v>
      </c>
      <c r="E524" s="96" t="s">
        <v>4262</v>
      </c>
      <c r="F524" s="96" t="s">
        <v>4704</v>
      </c>
      <c r="G524" s="99" t="s">
        <v>39</v>
      </c>
      <c r="H524" s="100" t="s">
        <v>114</v>
      </c>
      <c r="I524" s="100"/>
      <c r="J524" s="96" t="s">
        <v>4705</v>
      </c>
      <c r="K524" s="96" t="s">
        <v>4706</v>
      </c>
      <c r="L524" s="96" t="s">
        <v>4707</v>
      </c>
      <c r="M524" s="96"/>
      <c r="N524" s="100" t="s">
        <v>119</v>
      </c>
      <c r="O524" s="96"/>
      <c r="P524" s="96" t="s">
        <v>7459</v>
      </c>
      <c r="Q524" s="101">
        <v>50.098271099999998</v>
      </c>
      <c r="R524" s="101">
        <v>14.4064792</v>
      </c>
      <c r="S524" s="100" t="s">
        <v>7447</v>
      </c>
      <c r="T524" s="103" t="s">
        <v>58</v>
      </c>
      <c r="U524" s="103" t="s">
        <v>58</v>
      </c>
      <c r="V524" s="103" t="s">
        <v>58</v>
      </c>
      <c r="W524" s="103" t="s">
        <v>59</v>
      </c>
    </row>
    <row r="525" spans="1:23" ht="15.75" customHeight="1">
      <c r="A525" s="96">
        <v>589</v>
      </c>
      <c r="B525" s="97" t="s">
        <v>99</v>
      </c>
      <c r="C525" s="96" t="s">
        <v>4709</v>
      </c>
      <c r="D525" s="96" t="s">
        <v>4709</v>
      </c>
      <c r="E525" s="96" t="s">
        <v>419</v>
      </c>
      <c r="F525" s="96" t="s">
        <v>4710</v>
      </c>
      <c r="G525" s="99" t="s">
        <v>39</v>
      </c>
      <c r="H525" s="100" t="s">
        <v>114</v>
      </c>
      <c r="I525" s="100"/>
      <c r="J525" s="96" t="s">
        <v>4711</v>
      </c>
      <c r="K525" s="96" t="s">
        <v>4712</v>
      </c>
      <c r="L525" s="96" t="s">
        <v>4713</v>
      </c>
      <c r="M525" s="96" t="s">
        <v>4111</v>
      </c>
      <c r="N525" s="100" t="s">
        <v>119</v>
      </c>
      <c r="O525" s="96"/>
      <c r="P525" s="96" t="s">
        <v>7460</v>
      </c>
      <c r="Q525" s="101">
        <v>50.073571100000002</v>
      </c>
      <c r="R525" s="101">
        <v>14.4289928</v>
      </c>
      <c r="S525" s="100" t="s">
        <v>7447</v>
      </c>
      <c r="T525" s="103" t="s">
        <v>58</v>
      </c>
      <c r="U525" s="103" t="s">
        <v>58</v>
      </c>
      <c r="V525" s="103" t="s">
        <v>58</v>
      </c>
      <c r="W525" s="103" t="s">
        <v>59</v>
      </c>
    </row>
    <row r="526" spans="1:23" ht="15.75" customHeight="1">
      <c r="A526" s="96">
        <v>590</v>
      </c>
      <c r="B526" s="97" t="s">
        <v>99</v>
      </c>
      <c r="C526" s="96" t="s">
        <v>4715</v>
      </c>
      <c r="D526" s="96" t="s">
        <v>4715</v>
      </c>
      <c r="E526" s="96" t="s">
        <v>123</v>
      </c>
      <c r="F526" s="96" t="s">
        <v>4716</v>
      </c>
      <c r="G526" s="99" t="s">
        <v>39</v>
      </c>
      <c r="H526" s="100" t="s">
        <v>114</v>
      </c>
      <c r="I526" s="100"/>
      <c r="J526" s="96" t="s">
        <v>4717</v>
      </c>
      <c r="K526" s="96" t="s">
        <v>4719</v>
      </c>
      <c r="L526" s="96" t="s">
        <v>4720</v>
      </c>
      <c r="M526" s="96" t="s">
        <v>4721</v>
      </c>
      <c r="N526" s="100" t="s">
        <v>119</v>
      </c>
      <c r="O526" s="96"/>
      <c r="P526" s="96" t="s">
        <v>7938</v>
      </c>
      <c r="Q526" s="108">
        <v>49.8499719</v>
      </c>
      <c r="R526" s="108">
        <v>18.279877500000001</v>
      </c>
      <c r="S526" s="100" t="s">
        <v>7447</v>
      </c>
      <c r="T526" s="103" t="s">
        <v>121</v>
      </c>
      <c r="U526" s="103" t="s">
        <v>122</v>
      </c>
      <c r="V526" s="103" t="s">
        <v>123</v>
      </c>
      <c r="W526" s="103" t="s">
        <v>123</v>
      </c>
    </row>
    <row r="527" spans="1:23" ht="15.75" customHeight="1">
      <c r="A527" s="96">
        <v>591</v>
      </c>
      <c r="B527" s="97" t="s">
        <v>99</v>
      </c>
      <c r="C527" s="96" t="s">
        <v>4723</v>
      </c>
      <c r="D527" s="96" t="s">
        <v>4723</v>
      </c>
      <c r="E527" s="96" t="s">
        <v>4724</v>
      </c>
      <c r="F527" s="96" t="s">
        <v>4725</v>
      </c>
      <c r="G527" s="99" t="s">
        <v>39</v>
      </c>
      <c r="H527" s="100" t="s">
        <v>114</v>
      </c>
      <c r="I527" s="100"/>
      <c r="J527" s="96"/>
      <c r="K527" s="96" t="s">
        <v>4726</v>
      </c>
      <c r="L527" s="96" t="s">
        <v>4727</v>
      </c>
      <c r="M527" s="96"/>
      <c r="N527" s="100" t="s">
        <v>119</v>
      </c>
      <c r="O527" s="96"/>
      <c r="P527" s="96" t="s">
        <v>7939</v>
      </c>
      <c r="Q527" s="101">
        <v>49.783211700000003</v>
      </c>
      <c r="R527" s="101">
        <v>18.223611900000002</v>
      </c>
      <c r="S527" s="100" t="s">
        <v>7447</v>
      </c>
      <c r="T527" s="103" t="s">
        <v>121</v>
      </c>
      <c r="U527" s="103" t="s">
        <v>122</v>
      </c>
      <c r="V527" s="103" t="s">
        <v>123</v>
      </c>
      <c r="W527" s="103" t="s">
        <v>123</v>
      </c>
    </row>
    <row r="528" spans="1:23" ht="15.75" customHeight="1">
      <c r="A528" s="96">
        <v>593</v>
      </c>
      <c r="B528" s="97" t="s">
        <v>99</v>
      </c>
      <c r="C528" s="98" t="s">
        <v>4737</v>
      </c>
      <c r="D528" s="98" t="s">
        <v>4737</v>
      </c>
      <c r="E528" s="96" t="s">
        <v>4738</v>
      </c>
      <c r="F528" s="96" t="s">
        <v>4739</v>
      </c>
      <c r="G528" s="99" t="s">
        <v>39</v>
      </c>
      <c r="H528" s="100" t="s">
        <v>114</v>
      </c>
      <c r="I528" s="100"/>
      <c r="J528" s="102" t="s">
        <v>4740</v>
      </c>
      <c r="K528" s="96" t="s">
        <v>4741</v>
      </c>
      <c r="L528" s="96" t="s">
        <v>4742</v>
      </c>
      <c r="M528" s="96" t="s">
        <v>4743</v>
      </c>
      <c r="N528" s="103" t="s">
        <v>5540</v>
      </c>
      <c r="O528" s="96"/>
      <c r="P528" s="96" t="s">
        <v>7461</v>
      </c>
      <c r="Q528" s="101">
        <v>50.090814199999997</v>
      </c>
      <c r="R528" s="101">
        <v>14.418290000000001</v>
      </c>
      <c r="S528" s="100" t="s">
        <v>7447</v>
      </c>
      <c r="T528" s="103" t="s">
        <v>58</v>
      </c>
      <c r="U528" s="103" t="s">
        <v>58</v>
      </c>
      <c r="V528" s="103" t="s">
        <v>58</v>
      </c>
      <c r="W528" s="103" t="s">
        <v>59</v>
      </c>
    </row>
    <row r="529" spans="1:23" ht="15.75" customHeight="1">
      <c r="A529" s="96">
        <v>594</v>
      </c>
      <c r="B529" s="97" t="s">
        <v>99</v>
      </c>
      <c r="C529" s="98" t="s">
        <v>4746</v>
      </c>
      <c r="D529" s="98" t="s">
        <v>4746</v>
      </c>
      <c r="E529" s="96" t="s">
        <v>1034</v>
      </c>
      <c r="F529" s="96" t="s">
        <v>4747</v>
      </c>
      <c r="G529" s="99" t="s">
        <v>39</v>
      </c>
      <c r="H529" s="100" t="s">
        <v>114</v>
      </c>
      <c r="I529" s="100"/>
      <c r="J529" s="96"/>
      <c r="K529" s="96" t="s">
        <v>4748</v>
      </c>
      <c r="L529" s="96" t="s">
        <v>4749</v>
      </c>
      <c r="M529" s="96"/>
      <c r="N529" s="100" t="s">
        <v>119</v>
      </c>
      <c r="O529" s="96"/>
      <c r="P529" s="96" t="s">
        <v>7462</v>
      </c>
      <c r="Q529" s="101">
        <v>49.597185000000003</v>
      </c>
      <c r="R529" s="101">
        <v>17.265484699999998</v>
      </c>
      <c r="S529" s="100" t="s">
        <v>7447</v>
      </c>
      <c r="T529" s="103" t="s">
        <v>312</v>
      </c>
      <c r="U529" s="103" t="s">
        <v>1034</v>
      </c>
      <c r="V529" s="103" t="s">
        <v>1034</v>
      </c>
      <c r="W529" s="103" t="s">
        <v>1034</v>
      </c>
    </row>
    <row r="530" spans="1:23" ht="15.75" customHeight="1">
      <c r="A530" s="96">
        <v>595</v>
      </c>
      <c r="B530" s="97" t="s">
        <v>99</v>
      </c>
      <c r="C530" s="96" t="s">
        <v>4751</v>
      </c>
      <c r="D530" s="96" t="s">
        <v>4751</v>
      </c>
      <c r="E530" s="96" t="s">
        <v>2602</v>
      </c>
      <c r="F530" s="96" t="s">
        <v>4752</v>
      </c>
      <c r="G530" s="99" t="s">
        <v>39</v>
      </c>
      <c r="H530" s="100" t="s">
        <v>114</v>
      </c>
      <c r="I530" s="100"/>
      <c r="J530" s="96" t="s">
        <v>4754</v>
      </c>
      <c r="K530" s="96" t="s">
        <v>4755</v>
      </c>
      <c r="L530" s="96" t="s">
        <v>4756</v>
      </c>
      <c r="M530" s="96" t="s">
        <v>4757</v>
      </c>
      <c r="N530" s="100" t="s">
        <v>119</v>
      </c>
      <c r="O530" s="96"/>
      <c r="P530" s="96" t="s">
        <v>7463</v>
      </c>
      <c r="Q530" s="101">
        <v>50.0770208</v>
      </c>
      <c r="R530" s="101">
        <v>14.4535731</v>
      </c>
      <c r="S530" s="100" t="s">
        <v>7447</v>
      </c>
      <c r="T530" s="103" t="s">
        <v>58</v>
      </c>
      <c r="U530" s="103" t="s">
        <v>58</v>
      </c>
      <c r="V530" s="103" t="s">
        <v>58</v>
      </c>
      <c r="W530" s="103" t="s">
        <v>59</v>
      </c>
    </row>
    <row r="531" spans="1:23" ht="15.75" customHeight="1">
      <c r="A531" s="96">
        <v>596</v>
      </c>
      <c r="B531" s="97" t="s">
        <v>99</v>
      </c>
      <c r="C531" s="96" t="s">
        <v>2141</v>
      </c>
      <c r="D531" s="96" t="s">
        <v>2141</v>
      </c>
      <c r="E531" s="96" t="s">
        <v>1018</v>
      </c>
      <c r="F531" s="96" t="s">
        <v>4759</v>
      </c>
      <c r="G531" s="99" t="s">
        <v>39</v>
      </c>
      <c r="H531" s="100" t="s">
        <v>103</v>
      </c>
      <c r="I531" s="100"/>
      <c r="J531" s="96" t="s">
        <v>4760</v>
      </c>
      <c r="K531" s="96" t="s">
        <v>4761</v>
      </c>
      <c r="L531" s="96" t="s">
        <v>2137</v>
      </c>
      <c r="M531" s="96"/>
      <c r="N531" s="96" t="s">
        <v>2134</v>
      </c>
      <c r="O531" s="96"/>
      <c r="P531" s="96" t="s">
        <v>7940</v>
      </c>
      <c r="Q531" s="108">
        <v>49.198895</v>
      </c>
      <c r="R531" s="108">
        <v>16.5911717</v>
      </c>
      <c r="S531" s="100" t="s">
        <v>7447</v>
      </c>
      <c r="T531" s="103" t="s">
        <v>325</v>
      </c>
      <c r="U531" s="103" t="s">
        <v>1017</v>
      </c>
      <c r="V531" s="103" t="s">
        <v>1018</v>
      </c>
      <c r="W531" s="103" t="s">
        <v>1018</v>
      </c>
    </row>
    <row r="532" spans="1:23" ht="15.75" customHeight="1">
      <c r="A532" s="96">
        <v>597</v>
      </c>
      <c r="B532" s="97" t="s">
        <v>99</v>
      </c>
      <c r="C532" s="96" t="s">
        <v>4763</v>
      </c>
      <c r="D532" s="96" t="s">
        <v>4763</v>
      </c>
      <c r="E532" s="96" t="s">
        <v>4765</v>
      </c>
      <c r="F532" s="96" t="s">
        <v>4766</v>
      </c>
      <c r="G532" s="99" t="s">
        <v>39</v>
      </c>
      <c r="H532" s="100" t="s">
        <v>103</v>
      </c>
      <c r="I532" s="100"/>
      <c r="J532" s="96" t="s">
        <v>4767</v>
      </c>
      <c r="K532" s="96" t="s">
        <v>4768</v>
      </c>
      <c r="L532" s="96" t="s">
        <v>4769</v>
      </c>
      <c r="M532" s="96" t="s">
        <v>4770</v>
      </c>
      <c r="N532" s="100" t="s">
        <v>5588</v>
      </c>
      <c r="O532" s="102" t="s">
        <v>4772</v>
      </c>
      <c r="P532" s="96" t="s">
        <v>7941</v>
      </c>
      <c r="Q532" s="108">
        <v>50.084646900000003</v>
      </c>
      <c r="R532" s="108">
        <v>14.507640800000001</v>
      </c>
      <c r="S532" s="100" t="s">
        <v>7447</v>
      </c>
      <c r="T532" s="103" t="s">
        <v>58</v>
      </c>
      <c r="U532" s="103" t="s">
        <v>58</v>
      </c>
      <c r="V532" s="103" t="s">
        <v>58</v>
      </c>
      <c r="W532" s="103" t="s">
        <v>59</v>
      </c>
    </row>
    <row r="533" spans="1:23" ht="15.75" customHeight="1">
      <c r="A533" s="96">
        <v>598</v>
      </c>
      <c r="B533" s="97" t="s">
        <v>99</v>
      </c>
      <c r="C533" s="96" t="s">
        <v>4774</v>
      </c>
      <c r="D533" s="96" t="s">
        <v>4774</v>
      </c>
      <c r="E533" s="96" t="s">
        <v>218</v>
      </c>
      <c r="F533" s="96" t="s">
        <v>4775</v>
      </c>
      <c r="G533" s="99" t="s">
        <v>39</v>
      </c>
      <c r="H533" s="100" t="s">
        <v>114</v>
      </c>
      <c r="I533" s="100"/>
      <c r="J533" s="96"/>
      <c r="K533" s="96" t="s">
        <v>4776</v>
      </c>
      <c r="L533" s="96" t="s">
        <v>4777</v>
      </c>
      <c r="M533" s="96"/>
      <c r="N533" s="100" t="s">
        <v>119</v>
      </c>
      <c r="O533" s="96"/>
      <c r="P533" s="96" t="s">
        <v>7942</v>
      </c>
      <c r="Q533" s="101">
        <v>49.397090300000002</v>
      </c>
      <c r="R533" s="101">
        <v>13.28819</v>
      </c>
      <c r="S533" s="100" t="s">
        <v>7447</v>
      </c>
      <c r="T533" s="103" t="s">
        <v>217</v>
      </c>
      <c r="U533" s="103" t="s">
        <v>218</v>
      </c>
      <c r="V533" s="103" t="s">
        <v>218</v>
      </c>
      <c r="W533" s="103" t="s">
        <v>218</v>
      </c>
    </row>
    <row r="534" spans="1:23" ht="15.75" customHeight="1">
      <c r="A534" s="96">
        <v>599</v>
      </c>
      <c r="B534" s="97" t="s">
        <v>99</v>
      </c>
      <c r="C534" s="96" t="s">
        <v>4779</v>
      </c>
      <c r="D534" s="96" t="s">
        <v>4779</v>
      </c>
      <c r="E534" s="96" t="s">
        <v>208</v>
      </c>
      <c r="F534" s="96" t="s">
        <v>4780</v>
      </c>
      <c r="G534" s="99" t="s">
        <v>39</v>
      </c>
      <c r="H534" s="100" t="s">
        <v>114</v>
      </c>
      <c r="I534" s="100"/>
      <c r="J534" s="96"/>
      <c r="K534" s="96" t="s">
        <v>4781</v>
      </c>
      <c r="L534" s="96" t="s">
        <v>4782</v>
      </c>
      <c r="M534" s="96" t="s">
        <v>4111</v>
      </c>
      <c r="N534" s="100" t="s">
        <v>119</v>
      </c>
      <c r="O534" s="96"/>
      <c r="P534" s="96" t="s">
        <v>7943</v>
      </c>
      <c r="Q534" s="101">
        <v>50.214875300000003</v>
      </c>
      <c r="R534" s="101">
        <v>15.824438900000001</v>
      </c>
      <c r="S534" s="100" t="s">
        <v>52</v>
      </c>
      <c r="T534" s="103" t="s">
        <v>207</v>
      </c>
      <c r="U534" s="103" t="s">
        <v>208</v>
      </c>
      <c r="V534" s="103" t="s">
        <v>208</v>
      </c>
      <c r="W534" s="103" t="s">
        <v>208</v>
      </c>
    </row>
    <row r="535" spans="1:23" ht="15.75" customHeight="1">
      <c r="A535" s="96">
        <v>600</v>
      </c>
      <c r="B535" s="97" t="s">
        <v>99</v>
      </c>
      <c r="C535" s="100" t="s">
        <v>5608</v>
      </c>
      <c r="D535" s="100" t="s">
        <v>5608</v>
      </c>
      <c r="E535" s="96" t="s">
        <v>316</v>
      </c>
      <c r="F535" s="96" t="s">
        <v>4785</v>
      </c>
      <c r="G535" s="99" t="s">
        <v>39</v>
      </c>
      <c r="H535" s="100" t="s">
        <v>103</v>
      </c>
      <c r="I535" s="100"/>
      <c r="J535" s="96" t="s">
        <v>4786</v>
      </c>
      <c r="K535" s="96" t="s">
        <v>4787</v>
      </c>
      <c r="L535" s="96" t="s">
        <v>980</v>
      </c>
      <c r="M535" s="96"/>
      <c r="N535" s="96" t="s">
        <v>316</v>
      </c>
      <c r="O535" s="107" t="s">
        <v>5617</v>
      </c>
      <c r="P535" s="96" t="s">
        <v>7944</v>
      </c>
      <c r="Q535" s="96">
        <v>49.301315000000002</v>
      </c>
      <c r="R535" s="96">
        <v>17.3894053</v>
      </c>
      <c r="S535" s="100" t="s">
        <v>52</v>
      </c>
      <c r="T535" s="103" t="s">
        <v>97</v>
      </c>
      <c r="U535" s="103" t="s">
        <v>316</v>
      </c>
      <c r="V535" s="103" t="s">
        <v>316</v>
      </c>
      <c r="W535" s="103" t="s">
        <v>316</v>
      </c>
    </row>
    <row r="536" spans="1:23" ht="15.75" customHeight="1">
      <c r="A536" s="96">
        <v>602</v>
      </c>
      <c r="B536" s="97" t="s">
        <v>99</v>
      </c>
      <c r="C536" s="98" t="s">
        <v>4794</v>
      </c>
      <c r="D536" s="98" t="s">
        <v>4794</v>
      </c>
      <c r="E536" s="96" t="s">
        <v>819</v>
      </c>
      <c r="F536" s="96" t="s">
        <v>4795</v>
      </c>
      <c r="G536" s="99" t="s">
        <v>39</v>
      </c>
      <c r="H536" s="100" t="s">
        <v>114</v>
      </c>
      <c r="I536" s="100"/>
      <c r="J536" s="96"/>
      <c r="K536" s="96" t="s">
        <v>4796</v>
      </c>
      <c r="L536" s="96" t="s">
        <v>4797</v>
      </c>
      <c r="M536" s="96" t="s">
        <v>4111</v>
      </c>
      <c r="N536" s="100" t="s">
        <v>119</v>
      </c>
      <c r="O536" s="96"/>
      <c r="P536" s="96" t="s">
        <v>7464</v>
      </c>
      <c r="Q536" s="101">
        <v>48.851149200000002</v>
      </c>
      <c r="R536" s="101">
        <v>17.1230139</v>
      </c>
      <c r="S536" s="100" t="s">
        <v>7447</v>
      </c>
      <c r="T536" s="103" t="s">
        <v>325</v>
      </c>
      <c r="U536" s="103" t="s">
        <v>819</v>
      </c>
      <c r="V536" s="103" t="s">
        <v>819</v>
      </c>
      <c r="W536" s="103" t="s">
        <v>819</v>
      </c>
    </row>
    <row r="537" spans="1:23" ht="15.75" customHeight="1">
      <c r="A537" s="96">
        <v>603</v>
      </c>
      <c r="B537" s="97" t="s">
        <v>99</v>
      </c>
      <c r="C537" s="96" t="s">
        <v>4799</v>
      </c>
      <c r="D537" s="96" t="s">
        <v>4799</v>
      </c>
      <c r="E537" s="96" t="s">
        <v>4800</v>
      </c>
      <c r="F537" s="96" t="s">
        <v>4801</v>
      </c>
      <c r="G537" s="99" t="s">
        <v>39</v>
      </c>
      <c r="H537" s="100" t="s">
        <v>114</v>
      </c>
      <c r="I537" s="100"/>
      <c r="J537" s="98" t="s">
        <v>4802</v>
      </c>
      <c r="K537" s="96"/>
      <c r="L537" s="96" t="s">
        <v>4803</v>
      </c>
      <c r="M537" s="96" t="s">
        <v>4111</v>
      </c>
      <c r="N537" s="100" t="s">
        <v>119</v>
      </c>
      <c r="O537" s="96"/>
      <c r="P537" s="96" t="s">
        <v>4804</v>
      </c>
      <c r="Q537" s="96">
        <v>50.071055800000003</v>
      </c>
      <c r="R537" s="96">
        <v>15.8021239</v>
      </c>
      <c r="S537" s="100" t="s">
        <v>7447</v>
      </c>
      <c r="T537" s="103" t="s">
        <v>483</v>
      </c>
      <c r="U537" s="103" t="s">
        <v>1198</v>
      </c>
      <c r="V537" s="103" t="s">
        <v>1198</v>
      </c>
      <c r="W537" s="103" t="s">
        <v>4800</v>
      </c>
    </row>
    <row r="538" spans="1:23" ht="15.75" customHeight="1">
      <c r="A538" s="96">
        <v>604</v>
      </c>
      <c r="B538" s="97" t="s">
        <v>99</v>
      </c>
      <c r="C538" s="96" t="s">
        <v>3698</v>
      </c>
      <c r="D538" s="96" t="s">
        <v>3698</v>
      </c>
      <c r="E538" s="96" t="s">
        <v>1153</v>
      </c>
      <c r="F538" s="96" t="s">
        <v>4805</v>
      </c>
      <c r="G538" s="99" t="s">
        <v>39</v>
      </c>
      <c r="H538" s="100" t="s">
        <v>114</v>
      </c>
      <c r="I538" s="100"/>
      <c r="J538" s="96" t="s">
        <v>4806</v>
      </c>
      <c r="K538" s="96" t="s">
        <v>4807</v>
      </c>
      <c r="L538" s="96" t="s">
        <v>4808</v>
      </c>
      <c r="M538" s="96" t="s">
        <v>4809</v>
      </c>
      <c r="N538" s="100" t="s">
        <v>119</v>
      </c>
      <c r="O538" s="96"/>
      <c r="P538" s="96" t="s">
        <v>7465</v>
      </c>
      <c r="Q538" s="101">
        <v>49.4576858</v>
      </c>
      <c r="R538" s="101">
        <v>17.450258099999999</v>
      </c>
      <c r="S538" s="100" t="s">
        <v>7447</v>
      </c>
      <c r="T538" s="103" t="s">
        <v>312</v>
      </c>
      <c r="U538" s="103" t="s">
        <v>1153</v>
      </c>
      <c r="V538" s="103" t="s">
        <v>1153</v>
      </c>
      <c r="W538" s="103" t="s">
        <v>1153</v>
      </c>
    </row>
    <row r="539" spans="1:23" ht="15.75" customHeight="1">
      <c r="A539" s="96">
        <v>615</v>
      </c>
      <c r="B539" s="97" t="s">
        <v>99</v>
      </c>
      <c r="C539" s="96" t="s">
        <v>4854</v>
      </c>
      <c r="D539" s="96" t="s">
        <v>4854</v>
      </c>
      <c r="E539" s="96" t="s">
        <v>1018</v>
      </c>
      <c r="F539" s="96" t="s">
        <v>4855</v>
      </c>
      <c r="G539" s="99" t="s">
        <v>39</v>
      </c>
      <c r="H539" s="100" t="s">
        <v>114</v>
      </c>
      <c r="I539" s="100"/>
      <c r="J539" s="96"/>
      <c r="K539" s="96" t="s">
        <v>4856</v>
      </c>
      <c r="L539" s="96" t="s">
        <v>4857</v>
      </c>
      <c r="M539" s="96"/>
      <c r="N539" s="100" t="s">
        <v>119</v>
      </c>
      <c r="O539" s="96"/>
      <c r="P539" s="96" t="s">
        <v>7945</v>
      </c>
      <c r="Q539" s="101">
        <v>49.206146099999998</v>
      </c>
      <c r="R539" s="101">
        <v>16.622561699999999</v>
      </c>
      <c r="S539" s="100" t="s">
        <v>7447</v>
      </c>
      <c r="T539" s="103" t="s">
        <v>325</v>
      </c>
      <c r="U539" s="103" t="s">
        <v>1017</v>
      </c>
      <c r="V539" s="103" t="s">
        <v>1018</v>
      </c>
      <c r="W539" s="103" t="s">
        <v>1018</v>
      </c>
    </row>
    <row r="540" spans="1:23" ht="15.75" customHeight="1">
      <c r="A540" s="96">
        <v>616</v>
      </c>
      <c r="B540" s="97" t="s">
        <v>99</v>
      </c>
      <c r="C540" s="96" t="s">
        <v>4859</v>
      </c>
      <c r="D540" s="96" t="s">
        <v>4859</v>
      </c>
      <c r="E540" s="96" t="s">
        <v>2527</v>
      </c>
      <c r="F540" s="96" t="s">
        <v>4860</v>
      </c>
      <c r="G540" s="99" t="s">
        <v>39</v>
      </c>
      <c r="H540" s="100" t="s">
        <v>114</v>
      </c>
      <c r="I540" s="100"/>
      <c r="J540" s="96" t="s">
        <v>4861</v>
      </c>
      <c r="K540" s="96" t="s">
        <v>4862</v>
      </c>
      <c r="L540" s="96" t="s">
        <v>4863</v>
      </c>
      <c r="M540" s="96" t="s">
        <v>4111</v>
      </c>
      <c r="N540" s="100" t="s">
        <v>119</v>
      </c>
      <c r="O540" s="96"/>
      <c r="P540" s="96" t="s">
        <v>4864</v>
      </c>
      <c r="Q540" s="101">
        <v>50.1041022</v>
      </c>
      <c r="R540" s="101">
        <v>14.473084699999999</v>
      </c>
      <c r="S540" s="100" t="s">
        <v>7447</v>
      </c>
      <c r="T540" s="103" t="s">
        <v>58</v>
      </c>
      <c r="U540" s="103" t="s">
        <v>58</v>
      </c>
      <c r="V540" s="103" t="s">
        <v>58</v>
      </c>
      <c r="W540" s="103" t="s">
        <v>59</v>
      </c>
    </row>
    <row r="541" spans="1:23" ht="15.75" customHeight="1">
      <c r="A541" s="96">
        <v>624</v>
      </c>
      <c r="B541" s="97" t="s">
        <v>99</v>
      </c>
      <c r="C541" s="96" t="s">
        <v>4901</v>
      </c>
      <c r="D541" s="96" t="s">
        <v>4901</v>
      </c>
      <c r="E541" s="96" t="s">
        <v>1018</v>
      </c>
      <c r="F541" s="96" t="s">
        <v>4902</v>
      </c>
      <c r="G541" s="99" t="s">
        <v>39</v>
      </c>
      <c r="H541" s="100" t="s">
        <v>114</v>
      </c>
      <c r="I541" s="100"/>
      <c r="J541" s="96" t="s">
        <v>4903</v>
      </c>
      <c r="K541" s="96" t="s">
        <v>4904</v>
      </c>
      <c r="L541" s="96" t="s">
        <v>4905</v>
      </c>
      <c r="M541" s="96"/>
      <c r="N541" s="100" t="s">
        <v>119</v>
      </c>
      <c r="O541" s="96"/>
      <c r="P541" s="96" t="s">
        <v>7946</v>
      </c>
      <c r="Q541" s="101">
        <v>49.201302800000001</v>
      </c>
      <c r="R541" s="101">
        <v>16.607835600000001</v>
      </c>
      <c r="S541" s="100" t="s">
        <v>7447</v>
      </c>
      <c r="T541" s="103" t="s">
        <v>325</v>
      </c>
      <c r="U541" s="103" t="s">
        <v>1017</v>
      </c>
      <c r="V541" s="103" t="s">
        <v>1018</v>
      </c>
      <c r="W541" s="103" t="s">
        <v>1018</v>
      </c>
    </row>
    <row r="542" spans="1:23" ht="15.75" customHeight="1">
      <c r="A542" s="96">
        <v>625</v>
      </c>
      <c r="B542" s="97" t="s">
        <v>99</v>
      </c>
      <c r="C542" s="96" t="s">
        <v>3290</v>
      </c>
      <c r="D542" s="96" t="s">
        <v>3290</v>
      </c>
      <c r="E542" s="96" t="s">
        <v>1223</v>
      </c>
      <c r="F542" s="96" t="s">
        <v>4907</v>
      </c>
      <c r="G542" s="99" t="s">
        <v>39</v>
      </c>
      <c r="H542" s="100" t="s">
        <v>103</v>
      </c>
      <c r="I542" s="100"/>
      <c r="J542" s="96" t="s">
        <v>4908</v>
      </c>
      <c r="K542" s="96" t="s">
        <v>4909</v>
      </c>
      <c r="L542" s="96" t="s">
        <v>3288</v>
      </c>
      <c r="M542" s="96" t="s">
        <v>4111</v>
      </c>
      <c r="N542" s="100" t="s">
        <v>5833</v>
      </c>
      <c r="O542" s="96"/>
      <c r="P542" s="96" t="s">
        <v>7947</v>
      </c>
      <c r="Q542" s="96">
        <v>50.3515339</v>
      </c>
      <c r="R542" s="108">
        <v>14.474434199999999</v>
      </c>
      <c r="S542" s="100" t="s">
        <v>7447</v>
      </c>
      <c r="T542" s="103" t="s">
        <v>71</v>
      </c>
      <c r="U542" s="103" t="s">
        <v>1223</v>
      </c>
      <c r="V542" s="103" t="s">
        <v>1223</v>
      </c>
      <c r="W542" s="103" t="s">
        <v>1223</v>
      </c>
    </row>
    <row r="543" spans="1:23" ht="15.75" customHeight="1">
      <c r="A543" s="96">
        <v>626</v>
      </c>
      <c r="B543" s="97" t="s">
        <v>99</v>
      </c>
      <c r="C543" s="96" t="s">
        <v>4912</v>
      </c>
      <c r="D543" s="96" t="s">
        <v>4912</v>
      </c>
      <c r="E543" s="96" t="s">
        <v>2602</v>
      </c>
      <c r="F543" s="96" t="s">
        <v>3050</v>
      </c>
      <c r="G543" s="99" t="s">
        <v>39</v>
      </c>
      <c r="H543" s="100" t="s">
        <v>103</v>
      </c>
      <c r="I543" s="100"/>
      <c r="J543" s="102" t="s">
        <v>4914</v>
      </c>
      <c r="K543" s="102" t="s">
        <v>4915</v>
      </c>
      <c r="L543" s="96" t="s">
        <v>4916</v>
      </c>
      <c r="M543" s="96" t="s">
        <v>4917</v>
      </c>
      <c r="N543" s="96" t="s">
        <v>4913</v>
      </c>
      <c r="O543" s="96"/>
      <c r="P543" s="96" t="s">
        <v>7821</v>
      </c>
      <c r="Q543" s="96">
        <v>50.076327999999897</v>
      </c>
      <c r="R543" s="96">
        <v>14.430812</v>
      </c>
      <c r="S543" s="100" t="s">
        <v>7447</v>
      </c>
      <c r="T543" s="103" t="s">
        <v>58</v>
      </c>
      <c r="U543" s="103" t="s">
        <v>58</v>
      </c>
      <c r="V543" s="103" t="s">
        <v>58</v>
      </c>
      <c r="W543" s="103" t="s">
        <v>59</v>
      </c>
    </row>
    <row r="544" spans="1:23" ht="15.75" customHeight="1">
      <c r="A544" s="96">
        <v>628</v>
      </c>
      <c r="B544" s="97" t="s">
        <v>99</v>
      </c>
      <c r="C544" s="96" t="s">
        <v>4923</v>
      </c>
      <c r="D544" s="96" t="s">
        <v>4923</v>
      </c>
      <c r="E544" s="96" t="s">
        <v>636</v>
      </c>
      <c r="F544" s="96" t="s">
        <v>4924</v>
      </c>
      <c r="G544" s="99" t="s">
        <v>39</v>
      </c>
      <c r="H544" s="100" t="s">
        <v>103</v>
      </c>
      <c r="I544" s="100"/>
      <c r="J544" s="96"/>
      <c r="K544" s="96" t="s">
        <v>4925</v>
      </c>
      <c r="L544" s="96" t="s">
        <v>3262</v>
      </c>
      <c r="M544" s="96"/>
      <c r="N544" s="96" t="s">
        <v>3259</v>
      </c>
      <c r="O544" s="96"/>
      <c r="P544" s="96" t="s">
        <v>7948</v>
      </c>
      <c r="Q544" s="96">
        <v>49.3957275</v>
      </c>
      <c r="R544" s="96">
        <v>15.5892567</v>
      </c>
      <c r="S544" s="100" t="s">
        <v>7447</v>
      </c>
      <c r="T544" s="103" t="s">
        <v>144</v>
      </c>
      <c r="U544" s="103" t="s">
        <v>636</v>
      </c>
      <c r="V544" s="103" t="s">
        <v>636</v>
      </c>
      <c r="W544" s="103" t="s">
        <v>636</v>
      </c>
    </row>
    <row r="545" spans="1:23" ht="15.75" customHeight="1">
      <c r="A545" s="96">
        <v>629</v>
      </c>
      <c r="B545" s="97" t="s">
        <v>99</v>
      </c>
      <c r="C545" s="98" t="s">
        <v>4929</v>
      </c>
      <c r="D545" s="98" t="s">
        <v>4929</v>
      </c>
      <c r="E545" s="96" t="s">
        <v>1018</v>
      </c>
      <c r="F545" s="96" t="s">
        <v>4930</v>
      </c>
      <c r="G545" s="99" t="s">
        <v>39</v>
      </c>
      <c r="H545" s="100" t="s">
        <v>114</v>
      </c>
      <c r="I545" s="100"/>
      <c r="J545" s="107" t="s">
        <v>5879</v>
      </c>
      <c r="K545" s="96" t="s">
        <v>4932</v>
      </c>
      <c r="L545" s="96" t="s">
        <v>4933</v>
      </c>
      <c r="M545" s="96" t="s">
        <v>4111</v>
      </c>
      <c r="N545" s="100" t="s">
        <v>119</v>
      </c>
      <c r="O545" s="96"/>
      <c r="P545" s="96" t="s">
        <v>7466</v>
      </c>
      <c r="Q545" s="101">
        <v>49.200934199999999</v>
      </c>
      <c r="R545" s="101">
        <v>16.607929200000001</v>
      </c>
      <c r="S545" s="100" t="s">
        <v>7447</v>
      </c>
      <c r="T545" s="103" t="s">
        <v>325</v>
      </c>
      <c r="U545" s="103" t="s">
        <v>1017</v>
      </c>
      <c r="V545" s="103" t="s">
        <v>1018</v>
      </c>
      <c r="W545" s="103" t="s">
        <v>1018</v>
      </c>
    </row>
    <row r="546" spans="1:23" ht="15.75" customHeight="1">
      <c r="A546" s="96">
        <v>633</v>
      </c>
      <c r="B546" s="97" t="s">
        <v>99</v>
      </c>
      <c r="C546" s="96" t="s">
        <v>4950</v>
      </c>
      <c r="D546" s="96" t="s">
        <v>4950</v>
      </c>
      <c r="E546" s="96" t="s">
        <v>1785</v>
      </c>
      <c r="F546" s="96" t="s">
        <v>4951</v>
      </c>
      <c r="G546" s="99" t="s">
        <v>39</v>
      </c>
      <c r="H546" s="100" t="s">
        <v>114</v>
      </c>
      <c r="I546" s="100"/>
      <c r="J546" s="96" t="s">
        <v>4952</v>
      </c>
      <c r="K546" s="96" t="s">
        <v>4953</v>
      </c>
      <c r="L546" s="96" t="s">
        <v>4954</v>
      </c>
      <c r="M546" s="96" t="s">
        <v>4111</v>
      </c>
      <c r="N546" s="100" t="s">
        <v>5923</v>
      </c>
      <c r="O546" s="96"/>
      <c r="P546" s="96" t="s">
        <v>4956</v>
      </c>
      <c r="Q546" s="96">
        <v>50.084426899999997</v>
      </c>
      <c r="R546" s="96">
        <v>14.450973599999999</v>
      </c>
      <c r="S546" s="100" t="s">
        <v>7447</v>
      </c>
      <c r="T546" s="103" t="s">
        <v>58</v>
      </c>
      <c r="U546" s="103" t="s">
        <v>58</v>
      </c>
      <c r="V546" s="103" t="s">
        <v>58</v>
      </c>
      <c r="W546" s="103" t="s">
        <v>59</v>
      </c>
    </row>
    <row r="547" spans="1:23" ht="15.75" customHeight="1">
      <c r="A547" s="96">
        <v>634</v>
      </c>
      <c r="B547" s="97" t="s">
        <v>99</v>
      </c>
      <c r="C547" s="96" t="s">
        <v>612</v>
      </c>
      <c r="D547" s="96" t="s">
        <v>612</v>
      </c>
      <c r="E547" s="96" t="s">
        <v>606</v>
      </c>
      <c r="F547" s="96" t="s">
        <v>4957</v>
      </c>
      <c r="G547" s="99" t="s">
        <v>39</v>
      </c>
      <c r="H547" s="100" t="s">
        <v>103</v>
      </c>
      <c r="I547" s="100"/>
      <c r="J547" s="96" t="s">
        <v>4958</v>
      </c>
      <c r="K547" s="96"/>
      <c r="L547" s="96" t="s">
        <v>609</v>
      </c>
      <c r="M547" s="96"/>
      <c r="N547" s="96" t="s">
        <v>606</v>
      </c>
      <c r="O547" s="96"/>
      <c r="P547" s="96" t="s">
        <v>7949</v>
      </c>
      <c r="Q547" s="96">
        <v>48.615924700000001</v>
      </c>
      <c r="R547" s="96">
        <v>14.3126417</v>
      </c>
      <c r="S547" s="100" t="s">
        <v>7447</v>
      </c>
      <c r="T547" s="103" t="s">
        <v>369</v>
      </c>
      <c r="U547" s="103" t="s">
        <v>410</v>
      </c>
      <c r="V547" s="103" t="s">
        <v>410</v>
      </c>
      <c r="W547" s="103" t="s">
        <v>606</v>
      </c>
    </row>
    <row r="548" spans="1:23" ht="15.75" customHeight="1">
      <c r="A548" s="96">
        <v>635</v>
      </c>
      <c r="B548" s="97" t="s">
        <v>99</v>
      </c>
      <c r="C548" s="96" t="s">
        <v>4960</v>
      </c>
      <c r="D548" s="96" t="s">
        <v>4960</v>
      </c>
      <c r="E548" s="96" t="s">
        <v>1018</v>
      </c>
      <c r="F548" s="96" t="s">
        <v>4961</v>
      </c>
      <c r="G548" s="99" t="s">
        <v>39</v>
      </c>
      <c r="H548" s="100" t="s">
        <v>114</v>
      </c>
      <c r="I548" s="100"/>
      <c r="J548" s="96"/>
      <c r="K548" s="96" t="s">
        <v>4962</v>
      </c>
      <c r="L548" s="96" t="s">
        <v>4963</v>
      </c>
      <c r="M548" s="96"/>
      <c r="N548" s="100" t="s">
        <v>119</v>
      </c>
      <c r="O548" s="96"/>
      <c r="P548" s="96" t="s">
        <v>7950</v>
      </c>
      <c r="Q548" s="101">
        <v>49.195932800000001</v>
      </c>
      <c r="R548" s="101">
        <v>16.611716399999999</v>
      </c>
      <c r="S548" s="100" t="s">
        <v>7447</v>
      </c>
      <c r="T548" s="103" t="s">
        <v>325</v>
      </c>
      <c r="U548" s="103" t="s">
        <v>1017</v>
      </c>
      <c r="V548" s="103" t="s">
        <v>1018</v>
      </c>
      <c r="W548" s="103" t="s">
        <v>1018</v>
      </c>
    </row>
    <row r="549" spans="1:23" ht="15.75" customHeight="1">
      <c r="A549" s="96">
        <v>637</v>
      </c>
      <c r="B549" s="97" t="s">
        <v>99</v>
      </c>
      <c r="C549" s="96" t="s">
        <v>4969</v>
      </c>
      <c r="D549" s="96" t="s">
        <v>4969</v>
      </c>
      <c r="E549" s="96" t="s">
        <v>3431</v>
      </c>
      <c r="F549" s="96" t="s">
        <v>4970</v>
      </c>
      <c r="G549" s="99" t="s">
        <v>39</v>
      </c>
      <c r="H549" s="100" t="s">
        <v>103</v>
      </c>
      <c r="I549" s="100"/>
      <c r="J549" s="96" t="s">
        <v>4971</v>
      </c>
      <c r="K549" s="96"/>
      <c r="L549" s="96" t="s">
        <v>3433</v>
      </c>
      <c r="M549" s="96"/>
      <c r="N549" s="96" t="s">
        <v>3429</v>
      </c>
      <c r="O549" s="96"/>
      <c r="P549" s="96" t="s">
        <v>7951</v>
      </c>
      <c r="Q549" s="96">
        <v>50.016105600000003</v>
      </c>
      <c r="R549" s="96">
        <v>17.081024200000002</v>
      </c>
      <c r="S549" s="100" t="s">
        <v>7447</v>
      </c>
      <c r="T549" s="103" t="s">
        <v>312</v>
      </c>
      <c r="U549" s="103" t="s">
        <v>313</v>
      </c>
      <c r="V549" s="103" t="s">
        <v>313</v>
      </c>
      <c r="W549" s="103" t="s">
        <v>3431</v>
      </c>
    </row>
    <row r="550" spans="1:23" ht="15.75" customHeight="1">
      <c r="A550" s="96">
        <v>638</v>
      </c>
      <c r="B550" s="97" t="s">
        <v>99</v>
      </c>
      <c r="C550" s="96" t="s">
        <v>4973</v>
      </c>
      <c r="D550" s="96" t="s">
        <v>4973</v>
      </c>
      <c r="E550" s="96" t="s">
        <v>4974</v>
      </c>
      <c r="F550" s="96" t="s">
        <v>4975</v>
      </c>
      <c r="G550" s="99" t="s">
        <v>39</v>
      </c>
      <c r="H550" s="100" t="s">
        <v>103</v>
      </c>
      <c r="I550" s="100"/>
      <c r="J550" s="96" t="s">
        <v>4976</v>
      </c>
      <c r="K550" s="96" t="s">
        <v>4977</v>
      </c>
      <c r="L550" s="96" t="s">
        <v>1373</v>
      </c>
      <c r="M550" s="96"/>
      <c r="N550" s="96" t="s">
        <v>1369</v>
      </c>
      <c r="O550" s="96"/>
      <c r="P550" s="96" t="s">
        <v>7952</v>
      </c>
      <c r="Q550" s="108">
        <v>49.702738099999998</v>
      </c>
      <c r="R550" s="108">
        <v>13.4704903</v>
      </c>
      <c r="S550" s="100" t="s">
        <v>7447</v>
      </c>
      <c r="T550" s="103" t="s">
        <v>217</v>
      </c>
      <c r="U550" s="103" t="s">
        <v>1139</v>
      </c>
      <c r="V550" s="103" t="s">
        <v>1140</v>
      </c>
      <c r="W550" s="103" t="s">
        <v>4974</v>
      </c>
    </row>
    <row r="551" spans="1:23" ht="15.75" customHeight="1">
      <c r="A551" s="96">
        <v>639</v>
      </c>
      <c r="B551" s="97" t="s">
        <v>99</v>
      </c>
      <c r="C551" s="96" t="s">
        <v>4979</v>
      </c>
      <c r="D551" s="96" t="s">
        <v>4979</v>
      </c>
      <c r="E551" s="96" t="s">
        <v>1198</v>
      </c>
      <c r="F551" s="96" t="s">
        <v>4980</v>
      </c>
      <c r="G551" s="99" t="s">
        <v>39</v>
      </c>
      <c r="H551" s="100" t="s">
        <v>114</v>
      </c>
      <c r="I551" s="100"/>
      <c r="J551" s="96" t="s">
        <v>4981</v>
      </c>
      <c r="K551" s="96" t="s">
        <v>4982</v>
      </c>
      <c r="L551" s="96" t="s">
        <v>4983</v>
      </c>
      <c r="M551" s="96" t="s">
        <v>4111</v>
      </c>
      <c r="N551" s="100" t="s">
        <v>119</v>
      </c>
      <c r="O551" s="96"/>
      <c r="P551" s="96" t="s">
        <v>7953</v>
      </c>
      <c r="Q551" s="101">
        <v>50.034343900000003</v>
      </c>
      <c r="R551" s="101">
        <v>15.7715225</v>
      </c>
      <c r="S551" s="100" t="s">
        <v>7447</v>
      </c>
      <c r="T551" s="103" t="s">
        <v>483</v>
      </c>
      <c r="U551" s="103" t="s">
        <v>1198</v>
      </c>
      <c r="V551" s="103" t="s">
        <v>1198</v>
      </c>
      <c r="W551" s="103" t="s">
        <v>1198</v>
      </c>
    </row>
    <row r="552" spans="1:23" ht="15.75" customHeight="1">
      <c r="A552" s="96">
        <v>640</v>
      </c>
      <c r="B552" s="97" t="s">
        <v>99</v>
      </c>
      <c r="C552" s="96" t="s">
        <v>4985</v>
      </c>
      <c r="D552" s="96" t="s">
        <v>4985</v>
      </c>
      <c r="E552" s="96" t="s">
        <v>636</v>
      </c>
      <c r="F552" s="96" t="s">
        <v>4986</v>
      </c>
      <c r="G552" s="99" t="s">
        <v>39</v>
      </c>
      <c r="H552" s="100" t="s">
        <v>114</v>
      </c>
      <c r="I552" s="100"/>
      <c r="J552" s="107" t="s">
        <v>6008</v>
      </c>
      <c r="K552" s="96" t="s">
        <v>4988</v>
      </c>
      <c r="L552" s="96" t="s">
        <v>4989</v>
      </c>
      <c r="M552" s="96" t="s">
        <v>4111</v>
      </c>
      <c r="N552" s="100" t="s">
        <v>6015</v>
      </c>
      <c r="O552" s="96"/>
      <c r="P552" s="96" t="s">
        <v>7954</v>
      </c>
      <c r="Q552" s="101">
        <v>49.400226699999997</v>
      </c>
      <c r="R552" s="101">
        <v>15.5877236</v>
      </c>
      <c r="S552" s="100" t="s">
        <v>7447</v>
      </c>
      <c r="T552" s="103" t="s">
        <v>144</v>
      </c>
      <c r="U552" s="103" t="s">
        <v>636</v>
      </c>
      <c r="V552" s="103" t="s">
        <v>636</v>
      </c>
      <c r="W552" s="103" t="s">
        <v>636</v>
      </c>
    </row>
    <row r="553" spans="1:23" ht="15.75" customHeight="1">
      <c r="A553" s="96">
        <v>641</v>
      </c>
      <c r="B553" s="97" t="s">
        <v>99</v>
      </c>
      <c r="C553" s="96" t="s">
        <v>4992</v>
      </c>
      <c r="D553" s="96" t="s">
        <v>4992</v>
      </c>
      <c r="E553" s="96" t="s">
        <v>1785</v>
      </c>
      <c r="F553" s="96" t="s">
        <v>4993</v>
      </c>
      <c r="G553" s="99" t="s">
        <v>39</v>
      </c>
      <c r="H553" s="100" t="s">
        <v>114</v>
      </c>
      <c r="I553" s="100"/>
      <c r="J553" s="96"/>
      <c r="K553" s="96" t="s">
        <v>4994</v>
      </c>
      <c r="L553" s="96" t="s">
        <v>4995</v>
      </c>
      <c r="M553" s="96" t="s">
        <v>4996</v>
      </c>
      <c r="N553" s="100" t="s">
        <v>119</v>
      </c>
      <c r="O553" s="96"/>
      <c r="P553" s="108" t="s">
        <v>7955</v>
      </c>
      <c r="Q553" s="108">
        <v>50.091606400000003</v>
      </c>
      <c r="R553" s="96">
        <v>14.473659400000001</v>
      </c>
      <c r="S553" s="100" t="s">
        <v>7447</v>
      </c>
      <c r="T553" s="103" t="s">
        <v>58</v>
      </c>
      <c r="U553" s="103" t="s">
        <v>58</v>
      </c>
      <c r="V553" s="103" t="s">
        <v>58</v>
      </c>
      <c r="W553" s="103" t="s">
        <v>59</v>
      </c>
    </row>
    <row r="554" spans="1:23" ht="15.75" customHeight="1">
      <c r="A554" s="96">
        <v>642</v>
      </c>
      <c r="B554" s="97" t="s">
        <v>99</v>
      </c>
      <c r="C554" s="96" t="s">
        <v>4998</v>
      </c>
      <c r="D554" s="96" t="s">
        <v>4998</v>
      </c>
      <c r="E554" s="96" t="s">
        <v>208</v>
      </c>
      <c r="F554" s="96" t="s">
        <v>4999</v>
      </c>
      <c r="G554" s="99" t="s">
        <v>39</v>
      </c>
      <c r="H554" s="100" t="s">
        <v>114</v>
      </c>
      <c r="I554" s="100"/>
      <c r="J554" s="96" t="s">
        <v>5000</v>
      </c>
      <c r="K554" s="96" t="s">
        <v>5001</v>
      </c>
      <c r="L554" s="96" t="s">
        <v>5002</v>
      </c>
      <c r="M554" s="96" t="s">
        <v>4111</v>
      </c>
      <c r="N554" s="100" t="s">
        <v>119</v>
      </c>
      <c r="O554" s="96"/>
      <c r="P554" s="96" t="s">
        <v>7956</v>
      </c>
      <c r="Q554" s="101">
        <v>50.2097397</v>
      </c>
      <c r="R554" s="101">
        <v>15.8356856</v>
      </c>
      <c r="S554" s="100" t="s">
        <v>7447</v>
      </c>
      <c r="T554" s="103" t="s">
        <v>207</v>
      </c>
      <c r="U554" s="103" t="s">
        <v>208</v>
      </c>
      <c r="V554" s="103" t="s">
        <v>208</v>
      </c>
      <c r="W554" s="103" t="s">
        <v>208</v>
      </c>
    </row>
    <row r="555" spans="1:23" ht="15.75" customHeight="1">
      <c r="A555" s="96">
        <v>645</v>
      </c>
      <c r="B555" s="97" t="s">
        <v>99</v>
      </c>
      <c r="C555" s="96" t="s">
        <v>5014</v>
      </c>
      <c r="D555" s="96" t="s">
        <v>5014</v>
      </c>
      <c r="E555" s="96" t="s">
        <v>5015</v>
      </c>
      <c r="F555" s="96" t="s">
        <v>5016</v>
      </c>
      <c r="G555" s="99" t="s">
        <v>39</v>
      </c>
      <c r="H555" s="100" t="s">
        <v>103</v>
      </c>
      <c r="I555" s="100"/>
      <c r="J555" s="96"/>
      <c r="K555" s="96" t="s">
        <v>5017</v>
      </c>
      <c r="L555" s="96" t="s">
        <v>2273</v>
      </c>
      <c r="M555" s="96"/>
      <c r="N555" s="96" t="s">
        <v>2268</v>
      </c>
      <c r="O555" s="96"/>
      <c r="P555" s="96" t="s">
        <v>7957</v>
      </c>
      <c r="Q555" s="108">
        <v>50.036527800000002</v>
      </c>
      <c r="R555" s="108">
        <v>16.495985000000001</v>
      </c>
      <c r="S555" s="100" t="s">
        <v>7447</v>
      </c>
      <c r="T555" s="103" t="s">
        <v>483</v>
      </c>
      <c r="U555" s="103" t="s">
        <v>484</v>
      </c>
      <c r="V555" s="103" t="s">
        <v>1920</v>
      </c>
      <c r="W555" s="103" t="s">
        <v>5015</v>
      </c>
    </row>
    <row r="556" spans="1:23" ht="15.75" customHeight="1">
      <c r="A556" s="96">
        <v>646</v>
      </c>
      <c r="B556" s="97" t="s">
        <v>99</v>
      </c>
      <c r="C556" s="96" t="s">
        <v>5019</v>
      </c>
      <c r="D556" s="96" t="s">
        <v>5019</v>
      </c>
      <c r="E556" s="96" t="s">
        <v>1453</v>
      </c>
      <c r="F556" s="96" t="s">
        <v>5020</v>
      </c>
      <c r="G556" s="99" t="s">
        <v>39</v>
      </c>
      <c r="H556" s="100" t="s">
        <v>103</v>
      </c>
      <c r="I556" s="100"/>
      <c r="J556" s="96" t="s">
        <v>5021</v>
      </c>
      <c r="K556" s="96" t="s">
        <v>5022</v>
      </c>
      <c r="L556" s="96" t="s">
        <v>1566</v>
      </c>
      <c r="M556" s="96"/>
      <c r="N556" s="96" t="s">
        <v>1562</v>
      </c>
      <c r="O556" s="96"/>
      <c r="P556" s="96" t="s">
        <v>7958</v>
      </c>
      <c r="Q556" s="96">
        <v>49.7421206</v>
      </c>
      <c r="R556" s="96">
        <v>13.5957592</v>
      </c>
      <c r="S556" s="100" t="s">
        <v>7447</v>
      </c>
      <c r="T556" s="103" t="s">
        <v>217</v>
      </c>
      <c r="U556" s="103" t="s">
        <v>1453</v>
      </c>
      <c r="V556" s="103" t="s">
        <v>1453</v>
      </c>
      <c r="W556" s="103" t="s">
        <v>1453</v>
      </c>
    </row>
    <row r="557" spans="1:23" ht="15.75" customHeight="1">
      <c r="A557" s="96">
        <v>648</v>
      </c>
      <c r="B557" s="97" t="s">
        <v>99</v>
      </c>
      <c r="C557" s="96" t="s">
        <v>5029</v>
      </c>
      <c r="D557" s="96" t="s">
        <v>5029</v>
      </c>
      <c r="E557" s="96" t="s">
        <v>1140</v>
      </c>
      <c r="F557" s="96" t="s">
        <v>5030</v>
      </c>
      <c r="G557" s="99" t="s">
        <v>39</v>
      </c>
      <c r="H557" s="100" t="s">
        <v>114</v>
      </c>
      <c r="I557" s="100"/>
      <c r="J557" s="96"/>
      <c r="K557" s="96" t="s">
        <v>5031</v>
      </c>
      <c r="L557" s="96" t="s">
        <v>5032</v>
      </c>
      <c r="M557" s="96" t="s">
        <v>4111</v>
      </c>
      <c r="N557" s="100" t="s">
        <v>6112</v>
      </c>
      <c r="O557" s="96"/>
      <c r="P557" s="96" t="s">
        <v>7959</v>
      </c>
      <c r="Q557" s="101">
        <v>49.748309999999996</v>
      </c>
      <c r="R557" s="101">
        <v>13.379020300000001</v>
      </c>
      <c r="S557" s="100" t="s">
        <v>7447</v>
      </c>
      <c r="T557" s="103" t="s">
        <v>217</v>
      </c>
      <c r="U557" s="103" t="s">
        <v>1139</v>
      </c>
      <c r="V557" s="103" t="s">
        <v>1140</v>
      </c>
      <c r="W557" s="103" t="s">
        <v>1140</v>
      </c>
    </row>
    <row r="558" spans="1:23" ht="15.75" customHeight="1">
      <c r="A558" s="96">
        <v>649</v>
      </c>
      <c r="B558" s="97" t="s">
        <v>99</v>
      </c>
      <c r="C558" s="96" t="s">
        <v>5035</v>
      </c>
      <c r="D558" s="96" t="s">
        <v>5035</v>
      </c>
      <c r="E558" s="96" t="s">
        <v>5036</v>
      </c>
      <c r="F558" s="96" t="s">
        <v>5037</v>
      </c>
      <c r="G558" s="99" t="s">
        <v>39</v>
      </c>
      <c r="H558" s="100" t="s">
        <v>114</v>
      </c>
      <c r="I558" s="100"/>
      <c r="J558" s="96" t="s">
        <v>5038</v>
      </c>
      <c r="K558" s="96" t="s">
        <v>5039</v>
      </c>
      <c r="L558" s="96" t="s">
        <v>5040</v>
      </c>
      <c r="M558" s="100" t="s">
        <v>6132</v>
      </c>
      <c r="N558" s="100" t="s">
        <v>6134</v>
      </c>
      <c r="O558" s="96"/>
      <c r="P558" s="96" t="s">
        <v>7960</v>
      </c>
      <c r="Q558" s="101">
        <v>49.7915694</v>
      </c>
      <c r="R558" s="101">
        <v>18.405407799999999</v>
      </c>
      <c r="S558" s="100" t="s">
        <v>7447</v>
      </c>
      <c r="T558" s="103" t="s">
        <v>121</v>
      </c>
      <c r="U558" s="103" t="s">
        <v>132</v>
      </c>
      <c r="V558" s="103" t="s">
        <v>2316</v>
      </c>
      <c r="W558" s="103" t="s">
        <v>2316</v>
      </c>
    </row>
    <row r="559" spans="1:23" ht="15.75" customHeight="1">
      <c r="A559" s="96">
        <v>659</v>
      </c>
      <c r="B559" s="97" t="s">
        <v>99</v>
      </c>
      <c r="C559" s="96" t="s">
        <v>5071</v>
      </c>
      <c r="D559" s="96" t="s">
        <v>5071</v>
      </c>
      <c r="E559" s="96" t="s">
        <v>208</v>
      </c>
      <c r="F559" s="96" t="s">
        <v>5072</v>
      </c>
      <c r="G559" s="99" t="s">
        <v>39</v>
      </c>
      <c r="H559" s="100" t="s">
        <v>114</v>
      </c>
      <c r="I559" s="100"/>
      <c r="J559" s="96" t="s">
        <v>5073</v>
      </c>
      <c r="K559" s="96" t="s">
        <v>5074</v>
      </c>
      <c r="L559" s="96" t="s">
        <v>5075</v>
      </c>
      <c r="M559" s="96" t="s">
        <v>4111</v>
      </c>
      <c r="N559" s="100" t="s">
        <v>6262</v>
      </c>
      <c r="O559" s="96"/>
      <c r="P559" s="96" t="s">
        <v>7467</v>
      </c>
      <c r="Q559" s="101">
        <v>50.210313900000003</v>
      </c>
      <c r="R559" s="101">
        <v>15.83098246</v>
      </c>
      <c r="S559" s="100" t="s">
        <v>7447</v>
      </c>
      <c r="T559" s="103" t="s">
        <v>207</v>
      </c>
      <c r="U559" s="103" t="s">
        <v>208</v>
      </c>
      <c r="V559" s="103" t="s">
        <v>208</v>
      </c>
      <c r="W559" s="103" t="s">
        <v>208</v>
      </c>
    </row>
    <row r="560" spans="1:23" ht="15.75" customHeight="1">
      <c r="A560" s="96">
        <v>660</v>
      </c>
      <c r="B560" s="97" t="s">
        <v>99</v>
      </c>
      <c r="C560" s="96" t="s">
        <v>5078</v>
      </c>
      <c r="D560" s="96" t="s">
        <v>5078</v>
      </c>
      <c r="E560" s="96" t="s">
        <v>757</v>
      </c>
      <c r="F560" s="96" t="s">
        <v>5079</v>
      </c>
      <c r="G560" s="99" t="s">
        <v>39</v>
      </c>
      <c r="H560" s="100" t="s">
        <v>103</v>
      </c>
      <c r="I560" s="100"/>
      <c r="J560" s="96" t="s">
        <v>5080</v>
      </c>
      <c r="K560" s="96"/>
      <c r="L560" s="96" t="s">
        <v>759</v>
      </c>
      <c r="M560" s="96"/>
      <c r="N560" s="96" t="s">
        <v>755</v>
      </c>
      <c r="O560" s="96"/>
      <c r="P560" s="96" t="s">
        <v>7961</v>
      </c>
      <c r="Q560" s="96">
        <v>50.108823299999997</v>
      </c>
      <c r="R560" s="96">
        <v>14.854044200000001</v>
      </c>
      <c r="S560" s="100" t="s">
        <v>7447</v>
      </c>
      <c r="T560" s="103" t="s">
        <v>71</v>
      </c>
      <c r="U560" s="103" t="s">
        <v>882</v>
      </c>
      <c r="V560" s="103" t="s">
        <v>884</v>
      </c>
      <c r="W560" s="103" t="s">
        <v>757</v>
      </c>
    </row>
    <row r="561" spans="1:23" ht="15.75" customHeight="1">
      <c r="A561" s="96">
        <v>662</v>
      </c>
      <c r="B561" s="97" t="s">
        <v>99</v>
      </c>
      <c r="C561" s="96" t="s">
        <v>1366</v>
      </c>
      <c r="D561" s="96" t="s">
        <v>1366</v>
      </c>
      <c r="E561" s="96" t="s">
        <v>1360</v>
      </c>
      <c r="F561" s="96" t="s">
        <v>5085</v>
      </c>
      <c r="G561" s="99" t="s">
        <v>39</v>
      </c>
      <c r="H561" s="100" t="s">
        <v>103</v>
      </c>
      <c r="I561" s="100"/>
      <c r="J561" s="96"/>
      <c r="K561" s="96" t="s">
        <v>5086</v>
      </c>
      <c r="L561" s="96" t="s">
        <v>1364</v>
      </c>
      <c r="M561" s="96"/>
      <c r="N561" s="96" t="s">
        <v>1360</v>
      </c>
      <c r="O561" s="96"/>
      <c r="P561" s="96" t="s">
        <v>7962</v>
      </c>
      <c r="Q561" s="108">
        <v>49.857378300000001</v>
      </c>
      <c r="R561" s="108">
        <v>13.6013492</v>
      </c>
      <c r="S561" s="100" t="s">
        <v>7447</v>
      </c>
      <c r="T561" s="103" t="s">
        <v>217</v>
      </c>
      <c r="U561" s="103" t="s">
        <v>1453</v>
      </c>
      <c r="V561" s="103" t="s">
        <v>1453</v>
      </c>
      <c r="W561" s="103" t="s">
        <v>1360</v>
      </c>
    </row>
    <row r="562" spans="1:23" ht="15.75" customHeight="1">
      <c r="A562" s="96">
        <v>663</v>
      </c>
      <c r="B562" s="97" t="s">
        <v>99</v>
      </c>
      <c r="C562" s="96" t="s">
        <v>2984</v>
      </c>
      <c r="D562" s="96" t="s">
        <v>2984</v>
      </c>
      <c r="E562" s="96" t="s">
        <v>2979</v>
      </c>
      <c r="F562" s="96" t="s">
        <v>5088</v>
      </c>
      <c r="G562" s="99" t="s">
        <v>39</v>
      </c>
      <c r="H562" s="100" t="s">
        <v>103</v>
      </c>
      <c r="I562" s="100"/>
      <c r="J562" s="96" t="s">
        <v>5089</v>
      </c>
      <c r="K562" s="96" t="s">
        <v>5090</v>
      </c>
      <c r="L562" s="96" t="s">
        <v>2981</v>
      </c>
      <c r="M562" s="96"/>
      <c r="N562" s="96" t="s">
        <v>2977</v>
      </c>
      <c r="O562" s="96"/>
      <c r="P562" s="96" t="s">
        <v>7963</v>
      </c>
      <c r="Q562" s="96">
        <v>50.0296892</v>
      </c>
      <c r="R562" s="96">
        <v>14.605197499999999</v>
      </c>
      <c r="S562" s="100" t="s">
        <v>7447</v>
      </c>
      <c r="T562" s="103" t="s">
        <v>58</v>
      </c>
      <c r="U562" s="103" t="s">
        <v>58</v>
      </c>
      <c r="V562" s="103" t="s">
        <v>58</v>
      </c>
      <c r="W562" s="103" t="s">
        <v>59</v>
      </c>
    </row>
    <row r="563" spans="1:23" ht="15.75" customHeight="1">
      <c r="A563" s="96">
        <v>664</v>
      </c>
      <c r="B563" s="97" t="s">
        <v>99</v>
      </c>
      <c r="C563" s="96" t="s">
        <v>5092</v>
      </c>
      <c r="D563" s="96" t="s">
        <v>5092</v>
      </c>
      <c r="E563" s="96" t="s">
        <v>5093</v>
      </c>
      <c r="F563" s="96" t="s">
        <v>5094</v>
      </c>
      <c r="G563" s="99" t="s">
        <v>39</v>
      </c>
      <c r="H563" s="100" t="s">
        <v>114</v>
      </c>
      <c r="I563" s="100"/>
      <c r="J563" s="96"/>
      <c r="K563" s="96" t="s">
        <v>5095</v>
      </c>
      <c r="L563" s="96" t="s">
        <v>5096</v>
      </c>
      <c r="M563" s="96"/>
      <c r="N563" s="96" t="s">
        <v>1426</v>
      </c>
      <c r="O563" s="96"/>
      <c r="P563" s="96" t="s">
        <v>7964</v>
      </c>
      <c r="Q563" s="101">
        <v>49.866918599999998</v>
      </c>
      <c r="R563" s="101">
        <v>17.8727208</v>
      </c>
      <c r="S563" s="100" t="s">
        <v>52</v>
      </c>
      <c r="T563" s="103" t="s">
        <v>121</v>
      </c>
      <c r="U563" s="103" t="s">
        <v>516</v>
      </c>
      <c r="V563" s="103" t="s">
        <v>516</v>
      </c>
      <c r="W563" s="103" t="s">
        <v>5093</v>
      </c>
    </row>
    <row r="564" spans="1:23" ht="15.75" customHeight="1">
      <c r="A564" s="96">
        <v>666</v>
      </c>
      <c r="B564" s="97" t="s">
        <v>99</v>
      </c>
      <c r="C564" s="96" t="s">
        <v>5101</v>
      </c>
      <c r="D564" s="96" t="s">
        <v>5101</v>
      </c>
      <c r="E564" s="96" t="s">
        <v>1737</v>
      </c>
      <c r="F564" s="96" t="s">
        <v>5102</v>
      </c>
      <c r="G564" s="99" t="s">
        <v>39</v>
      </c>
      <c r="H564" s="100" t="s">
        <v>103</v>
      </c>
      <c r="I564" s="100"/>
      <c r="J564" s="96" t="s">
        <v>5103</v>
      </c>
      <c r="K564" s="96" t="s">
        <v>5104</v>
      </c>
      <c r="L564" s="96" t="s">
        <v>1739</v>
      </c>
      <c r="M564" s="96"/>
      <c r="N564" s="96" t="s">
        <v>1735</v>
      </c>
      <c r="O564" s="96"/>
      <c r="P564" s="96" t="s">
        <v>5105</v>
      </c>
      <c r="Q564" s="96">
        <v>50.149127200000002</v>
      </c>
      <c r="R564" s="96">
        <v>14.354358100000001</v>
      </c>
      <c r="S564" s="100" t="s">
        <v>7447</v>
      </c>
      <c r="T564" s="103" t="s">
        <v>71</v>
      </c>
      <c r="U564" s="103" t="s">
        <v>295</v>
      </c>
      <c r="V564" s="103" t="s">
        <v>296</v>
      </c>
      <c r="W564" s="103" t="s">
        <v>1737</v>
      </c>
    </row>
    <row r="565" spans="1:23" ht="15.75" customHeight="1">
      <c r="A565" s="96">
        <v>667</v>
      </c>
      <c r="B565" s="97" t="s">
        <v>99</v>
      </c>
      <c r="C565" s="96" t="s">
        <v>5106</v>
      </c>
      <c r="D565" s="96" t="s">
        <v>5106</v>
      </c>
      <c r="E565" s="96" t="s">
        <v>59</v>
      </c>
      <c r="F565" s="96" t="s">
        <v>5107</v>
      </c>
      <c r="G565" s="99" t="s">
        <v>39</v>
      </c>
      <c r="H565" s="100" t="s">
        <v>103</v>
      </c>
      <c r="I565" s="100"/>
      <c r="J565" s="96" t="s">
        <v>5108</v>
      </c>
      <c r="K565" s="96" t="s">
        <v>5109</v>
      </c>
      <c r="L565" s="96" t="s">
        <v>1650</v>
      </c>
      <c r="M565" s="96"/>
      <c r="N565" s="96" t="s">
        <v>1332</v>
      </c>
      <c r="O565" s="96"/>
      <c r="P565" s="96" t="s">
        <v>7965</v>
      </c>
      <c r="Q565" s="108">
        <v>50.090573900000003</v>
      </c>
      <c r="R565" s="108">
        <v>14.4414997</v>
      </c>
      <c r="S565" s="100" t="s">
        <v>7447</v>
      </c>
      <c r="T565" s="103" t="s">
        <v>58</v>
      </c>
      <c r="U565" s="103" t="s">
        <v>58</v>
      </c>
      <c r="V565" s="103" t="s">
        <v>58</v>
      </c>
      <c r="W565" s="103" t="s">
        <v>59</v>
      </c>
    </row>
    <row r="566" spans="1:23" ht="15.75" customHeight="1">
      <c r="A566" s="96">
        <v>668</v>
      </c>
      <c r="B566" s="97" t="s">
        <v>99</v>
      </c>
      <c r="C566" s="96" t="s">
        <v>5111</v>
      </c>
      <c r="D566" s="96" t="s">
        <v>5111</v>
      </c>
      <c r="E566" s="96" t="s">
        <v>1140</v>
      </c>
      <c r="F566" s="96" t="s">
        <v>5112</v>
      </c>
      <c r="G566" s="99" t="s">
        <v>39</v>
      </c>
      <c r="H566" s="100" t="s">
        <v>114</v>
      </c>
      <c r="I566" s="100"/>
      <c r="J566" s="96" t="s">
        <v>5113</v>
      </c>
      <c r="K566" s="96" t="s">
        <v>5114</v>
      </c>
      <c r="L566" s="96" t="s">
        <v>5115</v>
      </c>
      <c r="M566" s="96" t="s">
        <v>4111</v>
      </c>
      <c r="N566" s="100" t="s">
        <v>119</v>
      </c>
      <c r="O566" s="96"/>
      <c r="P566" s="96" t="s">
        <v>7966</v>
      </c>
      <c r="Q566" s="101">
        <v>49.745681900000001</v>
      </c>
      <c r="R566" s="101">
        <v>13.374420799999999</v>
      </c>
      <c r="S566" s="100" t="s">
        <v>7447</v>
      </c>
      <c r="T566" s="103" t="s">
        <v>217</v>
      </c>
      <c r="U566" s="103" t="s">
        <v>1139</v>
      </c>
      <c r="V566" s="103" t="s">
        <v>1140</v>
      </c>
      <c r="W566" s="103" t="s">
        <v>1140</v>
      </c>
    </row>
    <row r="567" spans="1:23" ht="15.75" customHeight="1">
      <c r="A567" s="96">
        <v>669</v>
      </c>
      <c r="B567" s="97" t="s">
        <v>99</v>
      </c>
      <c r="C567" s="96" t="s">
        <v>5117</v>
      </c>
      <c r="D567" s="96" t="s">
        <v>5117</v>
      </c>
      <c r="E567" s="96" t="s">
        <v>3972</v>
      </c>
      <c r="F567" s="96" t="s">
        <v>5118</v>
      </c>
      <c r="G567" s="99" t="s">
        <v>39</v>
      </c>
      <c r="H567" s="100" t="s">
        <v>114</v>
      </c>
      <c r="I567" s="100"/>
      <c r="J567" s="96" t="s">
        <v>5119</v>
      </c>
      <c r="K567" s="96" t="s">
        <v>5120</v>
      </c>
      <c r="L567" s="96" t="s">
        <v>5121</v>
      </c>
      <c r="M567" s="96" t="s">
        <v>118</v>
      </c>
      <c r="N567" s="100" t="s">
        <v>119</v>
      </c>
      <c r="O567" s="96"/>
      <c r="P567" s="96" t="s">
        <v>7967</v>
      </c>
      <c r="Q567" s="108">
        <v>50.126784200000003</v>
      </c>
      <c r="R567" s="108">
        <v>14.447549199999999</v>
      </c>
      <c r="S567" s="100" t="s">
        <v>7447</v>
      </c>
      <c r="T567" s="103" t="s">
        <v>58</v>
      </c>
      <c r="U567" s="103" t="s">
        <v>58</v>
      </c>
      <c r="V567" s="103" t="s">
        <v>58</v>
      </c>
      <c r="W567" s="103" t="s">
        <v>59</v>
      </c>
    </row>
    <row r="568" spans="1:23" ht="15.75" customHeight="1">
      <c r="A568" s="96">
        <v>675</v>
      </c>
      <c r="B568" s="97" t="s">
        <v>99</v>
      </c>
      <c r="C568" s="98" t="s">
        <v>5146</v>
      </c>
      <c r="D568" s="98" t="s">
        <v>5146</v>
      </c>
      <c r="E568" s="96" t="s">
        <v>2602</v>
      </c>
      <c r="F568" s="96" t="s">
        <v>5148</v>
      </c>
      <c r="G568" s="99" t="s">
        <v>39</v>
      </c>
      <c r="H568" s="100" t="s">
        <v>114</v>
      </c>
      <c r="I568" s="100"/>
      <c r="J568" s="96" t="s">
        <v>5149</v>
      </c>
      <c r="K568" s="96"/>
      <c r="L568" s="96" t="s">
        <v>5150</v>
      </c>
      <c r="M568" s="96" t="s">
        <v>4111</v>
      </c>
      <c r="N568" s="100" t="s">
        <v>119</v>
      </c>
      <c r="O568" s="96"/>
      <c r="P568" s="96" t="s">
        <v>7968</v>
      </c>
      <c r="Q568" s="101">
        <v>50.074454699999997</v>
      </c>
      <c r="R568" s="101">
        <v>14.436456400000001</v>
      </c>
      <c r="S568" s="100" t="s">
        <v>7447</v>
      </c>
      <c r="T568" s="103" t="s">
        <v>58</v>
      </c>
      <c r="U568" s="103" t="s">
        <v>58</v>
      </c>
      <c r="V568" s="103" t="s">
        <v>58</v>
      </c>
      <c r="W568" s="103" t="s">
        <v>59</v>
      </c>
    </row>
    <row r="569" spans="1:23" ht="15.75" customHeight="1">
      <c r="A569" s="96">
        <v>676</v>
      </c>
      <c r="B569" s="97" t="s">
        <v>99</v>
      </c>
      <c r="C569" s="98" t="s">
        <v>5152</v>
      </c>
      <c r="D569" s="98" t="s">
        <v>5152</v>
      </c>
      <c r="E569" s="96" t="s">
        <v>711</v>
      </c>
      <c r="F569" s="96" t="s">
        <v>5153</v>
      </c>
      <c r="G569" s="99" t="s">
        <v>39</v>
      </c>
      <c r="H569" s="100" t="s">
        <v>114</v>
      </c>
      <c r="I569" s="100"/>
      <c r="J569" s="96" t="s">
        <v>5149</v>
      </c>
      <c r="K569" s="96" t="s">
        <v>5154</v>
      </c>
      <c r="L569" s="96" t="s">
        <v>5150</v>
      </c>
      <c r="M569" s="96" t="s">
        <v>4111</v>
      </c>
      <c r="N569" s="100" t="s">
        <v>119</v>
      </c>
      <c r="O569" s="96"/>
      <c r="P569" s="96" t="s">
        <v>7969</v>
      </c>
      <c r="Q569" s="101">
        <v>50.085011399999999</v>
      </c>
      <c r="R569" s="101">
        <v>14.413985</v>
      </c>
      <c r="S569" s="100" t="s">
        <v>7447</v>
      </c>
      <c r="T569" s="103" t="s">
        <v>58</v>
      </c>
      <c r="U569" s="103" t="s">
        <v>58</v>
      </c>
      <c r="V569" s="103" t="s">
        <v>58</v>
      </c>
      <c r="W569" s="103" t="s">
        <v>59</v>
      </c>
    </row>
    <row r="570" spans="1:23" ht="15.75" customHeight="1">
      <c r="A570" s="96">
        <v>677</v>
      </c>
      <c r="B570" s="97" t="s">
        <v>99</v>
      </c>
      <c r="C570" s="96" t="s">
        <v>5156</v>
      </c>
      <c r="D570" s="96" t="s">
        <v>5156</v>
      </c>
      <c r="E570" s="96" t="s">
        <v>1018</v>
      </c>
      <c r="F570" s="96" t="s">
        <v>5157</v>
      </c>
      <c r="G570" s="99" t="s">
        <v>39</v>
      </c>
      <c r="H570" s="100" t="s">
        <v>103</v>
      </c>
      <c r="I570" s="100"/>
      <c r="J570" s="96" t="s">
        <v>5158</v>
      </c>
      <c r="K570" s="96" t="s">
        <v>5159</v>
      </c>
      <c r="L570" s="96" t="s">
        <v>2364</v>
      </c>
      <c r="M570" s="96"/>
      <c r="N570" s="96" t="s">
        <v>2360</v>
      </c>
      <c r="O570" s="96"/>
      <c r="P570" s="96" t="s">
        <v>7970</v>
      </c>
      <c r="Q570" s="108">
        <v>49.200022799999999</v>
      </c>
      <c r="R570" s="108">
        <v>16.6106178</v>
      </c>
      <c r="S570" s="100" t="s">
        <v>7447</v>
      </c>
      <c r="T570" s="103" t="s">
        <v>325</v>
      </c>
      <c r="U570" s="103" t="s">
        <v>1017</v>
      </c>
      <c r="V570" s="103" t="s">
        <v>1018</v>
      </c>
      <c r="W570" s="103" t="s">
        <v>1018</v>
      </c>
    </row>
    <row r="571" spans="1:23" ht="15.75" customHeight="1">
      <c r="A571" s="96">
        <v>678</v>
      </c>
      <c r="B571" s="97" t="s">
        <v>99</v>
      </c>
      <c r="C571" s="98" t="s">
        <v>5161</v>
      </c>
      <c r="D571" s="98" t="s">
        <v>5161</v>
      </c>
      <c r="E571" s="96" t="s">
        <v>5162</v>
      </c>
      <c r="F571" s="96" t="s">
        <v>5163</v>
      </c>
      <c r="G571" s="99" t="s">
        <v>39</v>
      </c>
      <c r="H571" s="100" t="s">
        <v>114</v>
      </c>
      <c r="I571" s="100"/>
      <c r="J571" s="96" t="s">
        <v>5164</v>
      </c>
      <c r="K571" s="96" t="s">
        <v>5165</v>
      </c>
      <c r="L571" s="96" t="s">
        <v>5166</v>
      </c>
      <c r="M571" s="96" t="s">
        <v>4111</v>
      </c>
      <c r="N571" s="100" t="s">
        <v>119</v>
      </c>
      <c r="O571" s="96"/>
      <c r="P571" s="96" t="s">
        <v>7468</v>
      </c>
      <c r="Q571" s="101">
        <v>50.050500300000003</v>
      </c>
      <c r="R571" s="101">
        <v>14.4819344</v>
      </c>
      <c r="S571" s="100" t="s">
        <v>7447</v>
      </c>
      <c r="T571" s="103" t="s">
        <v>58</v>
      </c>
      <c r="U571" s="103" t="s">
        <v>58</v>
      </c>
      <c r="V571" s="103" t="s">
        <v>58</v>
      </c>
      <c r="W571" s="103" t="s">
        <v>59</v>
      </c>
    </row>
    <row r="572" spans="1:23" ht="15.75" customHeight="1">
      <c r="A572" s="96">
        <v>679</v>
      </c>
      <c r="B572" s="97" t="s">
        <v>99</v>
      </c>
      <c r="C572" s="96" t="s">
        <v>5168</v>
      </c>
      <c r="D572" s="96" t="s">
        <v>5168</v>
      </c>
      <c r="E572" s="96" t="s">
        <v>5169</v>
      </c>
      <c r="F572" s="96" t="s">
        <v>5170</v>
      </c>
      <c r="G572" s="99" t="s">
        <v>39</v>
      </c>
      <c r="H572" s="100" t="s">
        <v>103</v>
      </c>
      <c r="I572" s="100"/>
      <c r="J572" s="96"/>
      <c r="K572" s="96" t="s">
        <v>5171</v>
      </c>
      <c r="L572" s="96" t="s">
        <v>2056</v>
      </c>
      <c r="M572" s="96"/>
      <c r="N572" s="96" t="s">
        <v>2052</v>
      </c>
      <c r="O572" s="96"/>
      <c r="P572" s="96" t="s">
        <v>7971</v>
      </c>
      <c r="Q572" s="108">
        <v>49.710591100000002</v>
      </c>
      <c r="R572" s="108">
        <v>18.5304678</v>
      </c>
      <c r="S572" s="100" t="s">
        <v>7447</v>
      </c>
      <c r="T572" s="103" t="s">
        <v>121</v>
      </c>
      <c r="U572" s="103" t="s">
        <v>259</v>
      </c>
      <c r="V572" s="103" t="s">
        <v>259</v>
      </c>
      <c r="W572" s="103" t="s">
        <v>5169</v>
      </c>
    </row>
    <row r="573" spans="1:23" ht="15.75" customHeight="1">
      <c r="A573" s="96">
        <v>694</v>
      </c>
      <c r="B573" s="97" t="s">
        <v>99</v>
      </c>
      <c r="C573" s="98" t="s">
        <v>5236</v>
      </c>
      <c r="D573" s="98" t="s">
        <v>5236</v>
      </c>
      <c r="E573" s="96" t="s">
        <v>316</v>
      </c>
      <c r="F573" s="96" t="s">
        <v>5237</v>
      </c>
      <c r="G573" s="99" t="s">
        <v>39</v>
      </c>
      <c r="H573" s="100" t="s">
        <v>114</v>
      </c>
      <c r="I573" s="100"/>
      <c r="J573" s="96" t="s">
        <v>5238</v>
      </c>
      <c r="K573" s="96" t="s">
        <v>5239</v>
      </c>
      <c r="L573" s="96" t="s">
        <v>5240</v>
      </c>
      <c r="M573" s="96" t="s">
        <v>4111</v>
      </c>
      <c r="N573" s="100" t="s">
        <v>119</v>
      </c>
      <c r="O573" s="107" t="s">
        <v>6509</v>
      </c>
      <c r="P573" s="96" t="s">
        <v>7972</v>
      </c>
      <c r="Q573" s="101">
        <v>49.298030599999997</v>
      </c>
      <c r="R573" s="101">
        <v>17.392693300000001</v>
      </c>
      <c r="S573" s="100" t="s">
        <v>52</v>
      </c>
      <c r="T573" s="103" t="s">
        <v>97</v>
      </c>
      <c r="U573" s="103" t="s">
        <v>316</v>
      </c>
      <c r="V573" s="103" t="s">
        <v>316</v>
      </c>
      <c r="W573" s="103" t="s">
        <v>316</v>
      </c>
    </row>
    <row r="574" spans="1:23" ht="15.75" customHeight="1">
      <c r="A574" s="96">
        <v>701</v>
      </c>
      <c r="B574" s="97" t="s">
        <v>99</v>
      </c>
      <c r="C574" s="96" t="s">
        <v>2926</v>
      </c>
      <c r="D574" s="96" t="s">
        <v>2926</v>
      </c>
      <c r="E574" s="96" t="s">
        <v>564</v>
      </c>
      <c r="F574" s="96" t="s">
        <v>2922</v>
      </c>
      <c r="G574" s="99" t="s">
        <v>39</v>
      </c>
      <c r="H574" s="100" t="s">
        <v>103</v>
      </c>
      <c r="I574" s="100"/>
      <c r="J574" s="96"/>
      <c r="K574" s="96" t="s">
        <v>5281</v>
      </c>
      <c r="L574" s="96" t="s">
        <v>2923</v>
      </c>
      <c r="M574" s="96"/>
      <c r="N574" s="96" t="s">
        <v>2921</v>
      </c>
      <c r="O574" s="96"/>
      <c r="P574" s="96" t="s">
        <v>7973</v>
      </c>
      <c r="Q574" s="108">
        <v>49.562259699999998</v>
      </c>
      <c r="R574" s="108">
        <v>15.939326400000001</v>
      </c>
      <c r="S574" s="100" t="s">
        <v>7447</v>
      </c>
      <c r="T574" s="103" t="s">
        <v>144</v>
      </c>
      <c r="U574" s="103" t="s">
        <v>564</v>
      </c>
      <c r="V574" s="103" t="s">
        <v>564</v>
      </c>
      <c r="W574" s="103" t="s">
        <v>564</v>
      </c>
    </row>
    <row r="575" spans="1:23" ht="15.75" customHeight="1">
      <c r="A575" s="96">
        <v>702</v>
      </c>
      <c r="B575" s="97" t="s">
        <v>99</v>
      </c>
      <c r="C575" s="96" t="s">
        <v>5283</v>
      </c>
      <c r="D575" s="96" t="s">
        <v>5283</v>
      </c>
      <c r="E575" s="96" t="s">
        <v>924</v>
      </c>
      <c r="F575" s="96" t="s">
        <v>5284</v>
      </c>
      <c r="G575" s="99" t="s">
        <v>39</v>
      </c>
      <c r="H575" s="100" t="s">
        <v>114</v>
      </c>
      <c r="I575" s="100"/>
      <c r="J575" s="96"/>
      <c r="K575" s="96" t="s">
        <v>5285</v>
      </c>
      <c r="L575" s="96" t="s">
        <v>5286</v>
      </c>
      <c r="M575" s="96"/>
      <c r="N575" s="100" t="s">
        <v>119</v>
      </c>
      <c r="O575" s="96"/>
      <c r="P575" s="96" t="s">
        <v>7974</v>
      </c>
      <c r="Q575" s="101">
        <v>49.203618900000002</v>
      </c>
      <c r="R575" s="101">
        <v>16.595248600000001</v>
      </c>
      <c r="S575" s="100" t="s">
        <v>7447</v>
      </c>
      <c r="T575" s="103" t="s">
        <v>325</v>
      </c>
      <c r="U575" s="103" t="s">
        <v>1017</v>
      </c>
      <c r="V575" s="103" t="s">
        <v>1018</v>
      </c>
      <c r="W575" s="103" t="s">
        <v>1018</v>
      </c>
    </row>
    <row r="576" spans="1:23" ht="15.75" customHeight="1">
      <c r="A576" s="96">
        <v>704</v>
      </c>
      <c r="B576" s="97" t="s">
        <v>99</v>
      </c>
      <c r="C576" s="96" t="s">
        <v>5290</v>
      </c>
      <c r="D576" s="96" t="s">
        <v>5290</v>
      </c>
      <c r="E576" s="96" t="s">
        <v>1018</v>
      </c>
      <c r="F576" s="96" t="s">
        <v>5291</v>
      </c>
      <c r="G576" s="99" t="s">
        <v>39</v>
      </c>
      <c r="H576" s="100" t="s">
        <v>103</v>
      </c>
      <c r="I576" s="100"/>
      <c r="J576" s="96" t="s">
        <v>5292</v>
      </c>
      <c r="K576" s="96" t="s">
        <v>5293</v>
      </c>
      <c r="L576" s="96" t="s">
        <v>5294</v>
      </c>
      <c r="M576" s="96" t="s">
        <v>5295</v>
      </c>
      <c r="N576" s="100" t="s">
        <v>6515</v>
      </c>
      <c r="O576" s="96"/>
      <c r="P576" s="96" t="s">
        <v>7975</v>
      </c>
      <c r="Q576" s="101">
        <v>49.191360299999999</v>
      </c>
      <c r="R576" s="101">
        <v>16.616011400000001</v>
      </c>
      <c r="S576" s="100" t="s">
        <v>7447</v>
      </c>
      <c r="T576" s="103" t="s">
        <v>325</v>
      </c>
      <c r="U576" s="103" t="s">
        <v>1017</v>
      </c>
      <c r="V576" s="103" t="s">
        <v>1018</v>
      </c>
      <c r="W576" s="103" t="s">
        <v>1018</v>
      </c>
    </row>
    <row r="577" spans="1:23" ht="15.75" customHeight="1">
      <c r="A577" s="96">
        <v>706</v>
      </c>
      <c r="B577" s="97" t="s">
        <v>99</v>
      </c>
      <c r="C577" s="96" t="s">
        <v>5303</v>
      </c>
      <c r="D577" s="96" t="s">
        <v>5303</v>
      </c>
      <c r="E577" s="96" t="s">
        <v>268</v>
      </c>
      <c r="F577" s="96" t="s">
        <v>5304</v>
      </c>
      <c r="G577" s="99" t="s">
        <v>39</v>
      </c>
      <c r="H577" s="100" t="s">
        <v>114</v>
      </c>
      <c r="I577" s="100"/>
      <c r="J577" s="96"/>
      <c r="K577" s="96" t="s">
        <v>5305</v>
      </c>
      <c r="L577" s="96" t="s">
        <v>5306</v>
      </c>
      <c r="M577" s="96" t="s">
        <v>4111</v>
      </c>
      <c r="N577" s="96" t="s">
        <v>479</v>
      </c>
      <c r="O577" s="96"/>
      <c r="P577" s="96" t="s">
        <v>5307</v>
      </c>
      <c r="Q577" s="96">
        <v>50.086163300000003</v>
      </c>
      <c r="R577" s="96">
        <v>14.3450244</v>
      </c>
      <c r="S577" s="100" t="s">
        <v>7447</v>
      </c>
      <c r="T577" s="103" t="s">
        <v>58</v>
      </c>
      <c r="U577" s="103" t="s">
        <v>58</v>
      </c>
      <c r="V577" s="103" t="s">
        <v>58</v>
      </c>
      <c r="W577" s="103" t="s">
        <v>59</v>
      </c>
    </row>
    <row r="578" spans="1:23" ht="15.75" customHeight="1">
      <c r="A578" s="96">
        <v>707</v>
      </c>
      <c r="B578" s="97" t="s">
        <v>99</v>
      </c>
      <c r="C578" s="96" t="s">
        <v>5308</v>
      </c>
      <c r="D578" s="96" t="s">
        <v>5308</v>
      </c>
      <c r="E578" s="96" t="s">
        <v>2687</v>
      </c>
      <c r="F578" s="96" t="s">
        <v>5309</v>
      </c>
      <c r="G578" s="99" t="s">
        <v>39</v>
      </c>
      <c r="H578" s="100" t="s">
        <v>114</v>
      </c>
      <c r="I578" s="100"/>
      <c r="J578" s="96"/>
      <c r="K578" s="96" t="s">
        <v>5310</v>
      </c>
      <c r="L578" s="96" t="s">
        <v>5311</v>
      </c>
      <c r="M578" s="96"/>
      <c r="N578" s="100" t="s">
        <v>6516</v>
      </c>
      <c r="O578" s="96"/>
      <c r="P578" s="96" t="s">
        <v>7976</v>
      </c>
      <c r="Q578" s="101">
        <v>49.2223769</v>
      </c>
      <c r="R578" s="101">
        <v>17.845555600000001</v>
      </c>
      <c r="S578" s="100" t="s">
        <v>7447</v>
      </c>
      <c r="T578" s="103" t="s">
        <v>97</v>
      </c>
      <c r="U578" s="103" t="s">
        <v>2156</v>
      </c>
      <c r="V578" s="103" t="s">
        <v>2687</v>
      </c>
      <c r="W578" s="103" t="s">
        <v>2687</v>
      </c>
    </row>
    <row r="579" spans="1:23" ht="15.75" customHeight="1">
      <c r="A579" s="96">
        <v>708</v>
      </c>
      <c r="B579" s="97" t="s">
        <v>99</v>
      </c>
      <c r="C579" s="98" t="s">
        <v>5314</v>
      </c>
      <c r="D579" s="98" t="s">
        <v>5314</v>
      </c>
      <c r="E579" s="96" t="s">
        <v>5315</v>
      </c>
      <c r="F579" s="96" t="s">
        <v>5316</v>
      </c>
      <c r="G579" s="99" t="s">
        <v>39</v>
      </c>
      <c r="H579" s="100" t="s">
        <v>114</v>
      </c>
      <c r="I579" s="100"/>
      <c r="J579" s="96" t="s">
        <v>5317</v>
      </c>
      <c r="K579" s="96" t="s">
        <v>5318</v>
      </c>
      <c r="L579" s="96" t="s">
        <v>5319</v>
      </c>
      <c r="M579" s="96"/>
      <c r="N579" s="100" t="s">
        <v>119</v>
      </c>
      <c r="O579" s="96"/>
      <c r="P579" s="96" t="s">
        <v>7469</v>
      </c>
      <c r="Q579" s="101">
        <v>49.221413900000002</v>
      </c>
      <c r="R579" s="101">
        <v>16.598021899999999</v>
      </c>
      <c r="S579" s="100" t="s">
        <v>7447</v>
      </c>
      <c r="T579" s="103" t="s">
        <v>325</v>
      </c>
      <c r="U579" s="103" t="s">
        <v>1017</v>
      </c>
      <c r="V579" s="103" t="s">
        <v>1018</v>
      </c>
      <c r="W579" s="103" t="s">
        <v>1018</v>
      </c>
    </row>
    <row r="580" spans="1:23" ht="15.75" customHeight="1">
      <c r="A580" s="96">
        <v>710</v>
      </c>
      <c r="B580" s="97" t="s">
        <v>99</v>
      </c>
      <c r="C580" s="96" t="s">
        <v>5325</v>
      </c>
      <c r="D580" s="96" t="s">
        <v>5325</v>
      </c>
      <c r="E580" s="96" t="s">
        <v>5326</v>
      </c>
      <c r="F580" s="96" t="s">
        <v>5327</v>
      </c>
      <c r="G580" s="99" t="s">
        <v>39</v>
      </c>
      <c r="H580" s="100" t="s">
        <v>103</v>
      </c>
      <c r="I580" s="100"/>
      <c r="J580" s="96"/>
      <c r="K580" s="96" t="s">
        <v>5328</v>
      </c>
      <c r="L580" s="96" t="s">
        <v>1373</v>
      </c>
      <c r="M580" s="96"/>
      <c r="N580" s="96" t="s">
        <v>1369</v>
      </c>
      <c r="O580" s="96"/>
      <c r="P580" s="96" t="s">
        <v>7977</v>
      </c>
      <c r="Q580" s="96">
        <v>49.797388099999999</v>
      </c>
      <c r="R580" s="96">
        <v>13.4496106</v>
      </c>
      <c r="S580" s="100" t="s">
        <v>7447</v>
      </c>
      <c r="T580" s="103" t="s">
        <v>217</v>
      </c>
      <c r="U580" s="103" t="s">
        <v>3768</v>
      </c>
      <c r="V580" s="103" t="s">
        <v>4089</v>
      </c>
      <c r="W580" s="103" t="s">
        <v>5326</v>
      </c>
    </row>
    <row r="581" spans="1:23" ht="15.75" customHeight="1">
      <c r="A581" s="96">
        <v>712</v>
      </c>
      <c r="B581" s="97" t="s">
        <v>99</v>
      </c>
      <c r="C581" s="96" t="s">
        <v>5334</v>
      </c>
      <c r="D581" s="96" t="s">
        <v>5334</v>
      </c>
      <c r="E581" s="96" t="s">
        <v>4724</v>
      </c>
      <c r="F581" s="96" t="s">
        <v>5335</v>
      </c>
      <c r="G581" s="99" t="s">
        <v>39</v>
      </c>
      <c r="H581" s="100" t="s">
        <v>114</v>
      </c>
      <c r="I581" s="100"/>
      <c r="J581" s="96" t="s">
        <v>5336</v>
      </c>
      <c r="K581" s="96" t="s">
        <v>5337</v>
      </c>
      <c r="L581" s="96" t="s">
        <v>5338</v>
      </c>
      <c r="M581" s="96"/>
      <c r="N581" s="100" t="s">
        <v>6517</v>
      </c>
      <c r="O581" s="96"/>
      <c r="P581" s="96" t="s">
        <v>7978</v>
      </c>
      <c r="Q581" s="101">
        <v>49.777011100000003</v>
      </c>
      <c r="R581" s="101">
        <v>18.220077199999999</v>
      </c>
      <c r="S581" s="100" t="s">
        <v>7447</v>
      </c>
      <c r="T581" s="103" t="s">
        <v>121</v>
      </c>
      <c r="U581" s="103" t="s">
        <v>122</v>
      </c>
      <c r="V581" s="103" t="s">
        <v>123</v>
      </c>
      <c r="W581" s="103" t="s">
        <v>123</v>
      </c>
    </row>
    <row r="582" spans="1:23" ht="15.75" customHeight="1">
      <c r="A582" s="96">
        <v>714</v>
      </c>
      <c r="B582" s="97" t="s">
        <v>99</v>
      </c>
      <c r="C582" s="96" t="s">
        <v>5344</v>
      </c>
      <c r="D582" s="96" t="s">
        <v>5344</v>
      </c>
      <c r="E582" s="96" t="s">
        <v>924</v>
      </c>
      <c r="F582" s="96" t="s">
        <v>5345</v>
      </c>
      <c r="G582" s="99" t="s">
        <v>39</v>
      </c>
      <c r="H582" s="100" t="s">
        <v>114</v>
      </c>
      <c r="I582" s="100"/>
      <c r="J582" s="96" t="s">
        <v>5346</v>
      </c>
      <c r="K582" s="96" t="s">
        <v>5347</v>
      </c>
      <c r="L582" s="96" t="s">
        <v>5348</v>
      </c>
      <c r="M582" s="96"/>
      <c r="N582" s="100" t="s">
        <v>119</v>
      </c>
      <c r="O582" s="96"/>
      <c r="P582" s="96" t="s">
        <v>7979</v>
      </c>
      <c r="Q582" s="101">
        <v>49.201996100000002</v>
      </c>
      <c r="R582" s="101">
        <v>16.598285000000001</v>
      </c>
      <c r="S582" s="100" t="s">
        <v>7447</v>
      </c>
      <c r="T582" s="103" t="s">
        <v>325</v>
      </c>
      <c r="U582" s="103" t="s">
        <v>1017</v>
      </c>
      <c r="V582" s="103" t="s">
        <v>1018</v>
      </c>
      <c r="W582" s="103" t="s">
        <v>1018</v>
      </c>
    </row>
    <row r="583" spans="1:23" ht="15.75" customHeight="1">
      <c r="A583" s="96">
        <v>737</v>
      </c>
      <c r="B583" s="97" t="s">
        <v>99</v>
      </c>
      <c r="C583" s="98" t="s">
        <v>5441</v>
      </c>
      <c r="D583" s="98" t="s">
        <v>5441</v>
      </c>
      <c r="E583" s="96" t="s">
        <v>711</v>
      </c>
      <c r="F583" s="96" t="s">
        <v>5442</v>
      </c>
      <c r="G583" s="99" t="s">
        <v>39</v>
      </c>
      <c r="H583" s="100" t="s">
        <v>114</v>
      </c>
      <c r="I583" s="100"/>
      <c r="J583" s="96" t="s">
        <v>5443</v>
      </c>
      <c r="K583" s="96" t="s">
        <v>5444</v>
      </c>
      <c r="L583" s="96" t="s">
        <v>5445</v>
      </c>
      <c r="M583" s="96" t="s">
        <v>4111</v>
      </c>
      <c r="N583" s="100" t="s">
        <v>119</v>
      </c>
      <c r="O583" s="96"/>
      <c r="P583" s="96" t="s">
        <v>7470</v>
      </c>
      <c r="Q583" s="101">
        <v>50.089096099999999</v>
      </c>
      <c r="R583" s="101">
        <v>14.4277</v>
      </c>
      <c r="S583" s="100" t="s">
        <v>7447</v>
      </c>
      <c r="T583" s="103" t="s">
        <v>58</v>
      </c>
      <c r="U583" s="103" t="s">
        <v>58</v>
      </c>
      <c r="V583" s="103" t="s">
        <v>58</v>
      </c>
      <c r="W583" s="103" t="s">
        <v>59</v>
      </c>
    </row>
    <row r="584" spans="1:23" ht="15.75" customHeight="1">
      <c r="A584" s="96">
        <v>738</v>
      </c>
      <c r="B584" s="97" t="s">
        <v>99</v>
      </c>
      <c r="C584" s="96" t="s">
        <v>5447</v>
      </c>
      <c r="D584" s="96" t="s">
        <v>5447</v>
      </c>
      <c r="E584" s="96" t="s">
        <v>1018</v>
      </c>
      <c r="F584" s="96" t="s">
        <v>5448</v>
      </c>
      <c r="G584" s="99" t="s">
        <v>39</v>
      </c>
      <c r="H584" s="100" t="s">
        <v>114</v>
      </c>
      <c r="I584" s="100"/>
      <c r="J584" s="96"/>
      <c r="K584" s="96" t="s">
        <v>5449</v>
      </c>
      <c r="L584" s="96" t="s">
        <v>5450</v>
      </c>
      <c r="M584" s="96"/>
      <c r="N584" s="100" t="s">
        <v>119</v>
      </c>
      <c r="O584" s="96"/>
      <c r="P584" s="96" t="s">
        <v>7980</v>
      </c>
      <c r="Q584" s="101">
        <v>49.197290600000002</v>
      </c>
      <c r="R584" s="101">
        <v>16.6078078</v>
      </c>
      <c r="S584" s="100" t="s">
        <v>7447</v>
      </c>
      <c r="T584" s="103" t="s">
        <v>325</v>
      </c>
      <c r="U584" s="103" t="s">
        <v>1017</v>
      </c>
      <c r="V584" s="103" t="s">
        <v>1018</v>
      </c>
      <c r="W584" s="103" t="s">
        <v>1018</v>
      </c>
    </row>
    <row r="585" spans="1:23" ht="15.75" customHeight="1">
      <c r="A585" s="96">
        <v>739</v>
      </c>
      <c r="B585" s="97" t="s">
        <v>99</v>
      </c>
      <c r="C585" s="96" t="s">
        <v>5452</v>
      </c>
      <c r="D585" s="96" t="s">
        <v>5452</v>
      </c>
      <c r="E585" s="96" t="s">
        <v>1018</v>
      </c>
      <c r="F585" s="96" t="s">
        <v>5453</v>
      </c>
      <c r="G585" s="99" t="s">
        <v>39</v>
      </c>
      <c r="H585" s="100" t="s">
        <v>114</v>
      </c>
      <c r="I585" s="100"/>
      <c r="J585" s="102" t="s">
        <v>5454</v>
      </c>
      <c r="K585" s="96" t="s">
        <v>5455</v>
      </c>
      <c r="L585" s="96" t="s">
        <v>5456</v>
      </c>
      <c r="M585" s="96"/>
      <c r="N585" s="100" t="s">
        <v>119</v>
      </c>
      <c r="O585" s="96"/>
      <c r="P585" s="96" t="s">
        <v>7471</v>
      </c>
      <c r="Q585" s="101">
        <v>49.203161899999998</v>
      </c>
      <c r="R585" s="101">
        <v>16.5968111</v>
      </c>
      <c r="S585" s="100" t="s">
        <v>7447</v>
      </c>
      <c r="T585" s="103" t="s">
        <v>325</v>
      </c>
      <c r="U585" s="103" t="s">
        <v>1017</v>
      </c>
      <c r="V585" s="103" t="s">
        <v>1018</v>
      </c>
      <c r="W585" s="103" t="s">
        <v>1018</v>
      </c>
    </row>
    <row r="586" spans="1:23" ht="15.75" customHeight="1">
      <c r="A586" s="96">
        <v>740</v>
      </c>
      <c r="B586" s="97" t="s">
        <v>99</v>
      </c>
      <c r="C586" s="96" t="s">
        <v>5458</v>
      </c>
      <c r="D586" s="96" t="s">
        <v>5458</v>
      </c>
      <c r="E586" s="96" t="s">
        <v>5315</v>
      </c>
      <c r="F586" s="96" t="s">
        <v>5459</v>
      </c>
      <c r="G586" s="99" t="s">
        <v>39</v>
      </c>
      <c r="H586" s="100" t="s">
        <v>114</v>
      </c>
      <c r="I586" s="100"/>
      <c r="J586" s="96"/>
      <c r="K586" s="96" t="s">
        <v>5460</v>
      </c>
      <c r="L586" s="96" t="s">
        <v>5461</v>
      </c>
      <c r="M586" s="96"/>
      <c r="N586" s="100" t="s">
        <v>6747</v>
      </c>
      <c r="O586" s="96"/>
      <c r="P586" s="96" t="s">
        <v>7981</v>
      </c>
      <c r="Q586" s="101">
        <v>49.224918099999996</v>
      </c>
      <c r="R586" s="101">
        <v>16.583185</v>
      </c>
      <c r="S586" s="100" t="s">
        <v>7447</v>
      </c>
      <c r="T586" s="103" t="s">
        <v>325</v>
      </c>
      <c r="U586" s="103" t="s">
        <v>1017</v>
      </c>
      <c r="V586" s="103" t="s">
        <v>1018</v>
      </c>
      <c r="W586" s="103" t="s">
        <v>1018</v>
      </c>
    </row>
    <row r="587" spans="1:23" ht="15.75" customHeight="1">
      <c r="A587" s="96">
        <v>741</v>
      </c>
      <c r="B587" s="97" t="s">
        <v>99</v>
      </c>
      <c r="C587" s="96" t="s">
        <v>3150</v>
      </c>
      <c r="D587" s="96" t="s">
        <v>3150</v>
      </c>
      <c r="E587" s="96" t="s">
        <v>953</v>
      </c>
      <c r="F587" s="96" t="s">
        <v>5464</v>
      </c>
      <c r="G587" s="99" t="s">
        <v>39</v>
      </c>
      <c r="H587" s="100" t="s">
        <v>103</v>
      </c>
      <c r="I587" s="100"/>
      <c r="J587" s="96" t="s">
        <v>5465</v>
      </c>
      <c r="K587" s="96"/>
      <c r="L587" s="96" t="s">
        <v>3147</v>
      </c>
      <c r="M587" s="96"/>
      <c r="N587" s="96" t="s">
        <v>953</v>
      </c>
      <c r="O587" s="96"/>
      <c r="P587" s="96" t="s">
        <v>7982</v>
      </c>
      <c r="Q587" s="108">
        <v>49.349589999999999</v>
      </c>
      <c r="R587" s="108">
        <v>16.4200856</v>
      </c>
      <c r="S587" s="100" t="s">
        <v>7447</v>
      </c>
      <c r="T587" s="103" t="s">
        <v>325</v>
      </c>
      <c r="U587" s="103" t="s">
        <v>952</v>
      </c>
      <c r="V587" s="103" t="s">
        <v>953</v>
      </c>
      <c r="W587" s="103" t="s">
        <v>953</v>
      </c>
    </row>
    <row r="588" spans="1:23" ht="15.75" customHeight="1">
      <c r="A588" s="96">
        <v>742</v>
      </c>
      <c r="B588" s="97" t="s">
        <v>99</v>
      </c>
      <c r="C588" s="96" t="s">
        <v>5467</v>
      </c>
      <c r="D588" s="96" t="s">
        <v>5467</v>
      </c>
      <c r="E588" s="96" t="s">
        <v>1018</v>
      </c>
      <c r="F588" s="96" t="s">
        <v>5468</v>
      </c>
      <c r="G588" s="99" t="s">
        <v>39</v>
      </c>
      <c r="H588" s="100" t="s">
        <v>114</v>
      </c>
      <c r="I588" s="100"/>
      <c r="J588" s="96" t="s">
        <v>5469</v>
      </c>
      <c r="K588" s="96" t="s">
        <v>5470</v>
      </c>
      <c r="L588" s="96" t="s">
        <v>5471</v>
      </c>
      <c r="M588" s="96" t="s">
        <v>4111</v>
      </c>
      <c r="N588" s="100" t="s">
        <v>6766</v>
      </c>
      <c r="O588" s="96"/>
      <c r="P588" s="96" t="s">
        <v>7983</v>
      </c>
      <c r="Q588" s="101">
        <v>49.191621099999999</v>
      </c>
      <c r="R588" s="101">
        <v>16.606126400000001</v>
      </c>
      <c r="S588" s="100" t="s">
        <v>7447</v>
      </c>
      <c r="T588" s="103" t="s">
        <v>325</v>
      </c>
      <c r="U588" s="103" t="s">
        <v>1017</v>
      </c>
      <c r="V588" s="103" t="s">
        <v>1018</v>
      </c>
      <c r="W588" s="103" t="s">
        <v>1018</v>
      </c>
    </row>
    <row r="589" spans="1:23" ht="15.75" customHeight="1">
      <c r="A589" s="96">
        <v>743</v>
      </c>
      <c r="B589" s="97" t="s">
        <v>99</v>
      </c>
      <c r="C589" s="98" t="s">
        <v>5474</v>
      </c>
      <c r="D589" s="98" t="s">
        <v>5474</v>
      </c>
      <c r="E589" s="96" t="s">
        <v>1018</v>
      </c>
      <c r="F589" s="96" t="s">
        <v>5475</v>
      </c>
      <c r="G589" s="99" t="s">
        <v>39</v>
      </c>
      <c r="H589" s="100" t="s">
        <v>103</v>
      </c>
      <c r="I589" s="100"/>
      <c r="J589" s="96"/>
      <c r="K589" s="96" t="s">
        <v>5476</v>
      </c>
      <c r="L589" s="96" t="s">
        <v>5477</v>
      </c>
      <c r="M589" s="96" t="s">
        <v>5478</v>
      </c>
      <c r="N589" s="98" t="s">
        <v>5474</v>
      </c>
      <c r="O589" s="107" t="s">
        <v>6775</v>
      </c>
      <c r="P589" s="96" t="s">
        <v>7472</v>
      </c>
      <c r="Q589" s="101">
        <v>49.192809199999999</v>
      </c>
      <c r="R589" s="101">
        <v>16.600855800000001</v>
      </c>
      <c r="S589" s="100" t="s">
        <v>7447</v>
      </c>
      <c r="T589" s="103" t="s">
        <v>325</v>
      </c>
      <c r="U589" s="103" t="s">
        <v>1017</v>
      </c>
      <c r="V589" s="103" t="s">
        <v>1018</v>
      </c>
      <c r="W589" s="103" t="s">
        <v>1018</v>
      </c>
    </row>
    <row r="590" spans="1:23" ht="15.75" customHeight="1">
      <c r="A590" s="96">
        <v>744</v>
      </c>
      <c r="B590" s="97" t="s">
        <v>99</v>
      </c>
      <c r="C590" s="96" t="s">
        <v>329</v>
      </c>
      <c r="D590" s="96" t="s">
        <v>329</v>
      </c>
      <c r="E590" s="96" t="s">
        <v>1140</v>
      </c>
      <c r="F590" s="96" t="s">
        <v>5480</v>
      </c>
      <c r="G590" s="99" t="s">
        <v>39</v>
      </c>
      <c r="H590" s="100" t="s">
        <v>103</v>
      </c>
      <c r="I590" s="100"/>
      <c r="J590" s="96" t="s">
        <v>5481</v>
      </c>
      <c r="K590" s="96" t="s">
        <v>5482</v>
      </c>
      <c r="L590" s="96" t="s">
        <v>326</v>
      </c>
      <c r="M590" s="96"/>
      <c r="N590" s="96" t="s">
        <v>321</v>
      </c>
      <c r="O590" s="96"/>
      <c r="P590" s="96" t="s">
        <v>7984</v>
      </c>
      <c r="Q590" s="96">
        <v>49.735470300000003</v>
      </c>
      <c r="R590" s="96">
        <v>13.3707058</v>
      </c>
      <c r="S590" s="100" t="s">
        <v>7447</v>
      </c>
      <c r="T590" s="103" t="s">
        <v>217</v>
      </c>
      <c r="U590" s="103" t="s">
        <v>1139</v>
      </c>
      <c r="V590" s="103" t="s">
        <v>1140</v>
      </c>
      <c r="W590" s="103" t="s">
        <v>1140</v>
      </c>
    </row>
    <row r="591" spans="1:23" ht="15.75" customHeight="1">
      <c r="A591" s="96">
        <v>745</v>
      </c>
      <c r="B591" s="97" t="s">
        <v>99</v>
      </c>
      <c r="C591" s="96" t="s">
        <v>5484</v>
      </c>
      <c r="D591" s="96" t="s">
        <v>5484</v>
      </c>
      <c r="E591" s="96" t="s">
        <v>1018</v>
      </c>
      <c r="F591" s="96" t="s">
        <v>5485</v>
      </c>
      <c r="G591" s="99" t="s">
        <v>39</v>
      </c>
      <c r="H591" s="100" t="s">
        <v>114</v>
      </c>
      <c r="I591" s="100"/>
      <c r="J591" s="96"/>
      <c r="K591" s="96" t="s">
        <v>5486</v>
      </c>
      <c r="L591" s="96" t="s">
        <v>5487</v>
      </c>
      <c r="M591" s="96"/>
      <c r="N591" s="100" t="s">
        <v>119</v>
      </c>
      <c r="O591" s="96"/>
      <c r="P591" s="96" t="s">
        <v>7985</v>
      </c>
      <c r="Q591" s="101">
        <v>49.223480000000002</v>
      </c>
      <c r="R591" s="101">
        <v>16.593253300000001</v>
      </c>
      <c r="S591" s="100" t="s">
        <v>7447</v>
      </c>
      <c r="T591" s="103" t="s">
        <v>325</v>
      </c>
      <c r="U591" s="103" t="s">
        <v>1017</v>
      </c>
      <c r="V591" s="103" t="s">
        <v>1018</v>
      </c>
      <c r="W591" s="103" t="s">
        <v>1018</v>
      </c>
    </row>
    <row r="592" spans="1:23" ht="15.75" customHeight="1">
      <c r="A592" s="96">
        <v>746</v>
      </c>
      <c r="B592" s="97" t="s">
        <v>99</v>
      </c>
      <c r="C592" s="96" t="s">
        <v>5489</v>
      </c>
      <c r="D592" s="96" t="s">
        <v>5489</v>
      </c>
      <c r="E592" s="96" t="s">
        <v>574</v>
      </c>
      <c r="F592" s="96" t="s">
        <v>5490</v>
      </c>
      <c r="G592" s="99" t="s">
        <v>39</v>
      </c>
      <c r="H592" s="100" t="s">
        <v>114</v>
      </c>
      <c r="I592" s="100"/>
      <c r="J592" s="96" t="s">
        <v>5491</v>
      </c>
      <c r="K592" s="96" t="s">
        <v>5492</v>
      </c>
      <c r="L592" s="96" t="s">
        <v>5493</v>
      </c>
      <c r="M592" s="96"/>
      <c r="N592" s="100" t="s">
        <v>119</v>
      </c>
      <c r="O592" s="96"/>
      <c r="P592" s="96" t="s">
        <v>7986</v>
      </c>
      <c r="Q592" s="101">
        <v>50.233621399999997</v>
      </c>
      <c r="R592" s="101">
        <v>12.8582486</v>
      </c>
      <c r="S592" s="100" t="s">
        <v>7447</v>
      </c>
      <c r="T592" s="103" t="s">
        <v>573</v>
      </c>
      <c r="U592" s="103" t="s">
        <v>574</v>
      </c>
      <c r="V592" s="103" t="s">
        <v>574</v>
      </c>
      <c r="W592" s="103" t="s">
        <v>574</v>
      </c>
    </row>
    <row r="593" spans="1:23" ht="15.75" customHeight="1">
      <c r="A593" s="96">
        <v>747</v>
      </c>
      <c r="B593" s="97" t="s">
        <v>99</v>
      </c>
      <c r="C593" s="96" t="s">
        <v>3168</v>
      </c>
      <c r="D593" s="96" t="s">
        <v>3168</v>
      </c>
      <c r="E593" s="96" t="s">
        <v>5495</v>
      </c>
      <c r="F593" s="96" t="s">
        <v>5496</v>
      </c>
      <c r="G593" s="99" t="s">
        <v>39</v>
      </c>
      <c r="H593" s="100" t="s">
        <v>114</v>
      </c>
      <c r="I593" s="100"/>
      <c r="J593" s="96" t="s">
        <v>5497</v>
      </c>
      <c r="K593" s="96" t="s">
        <v>5498</v>
      </c>
      <c r="L593" s="96" t="s">
        <v>5499</v>
      </c>
      <c r="M593" s="96" t="s">
        <v>4809</v>
      </c>
      <c r="N593" s="100" t="s">
        <v>119</v>
      </c>
      <c r="O593" s="96"/>
      <c r="P593" s="96" t="s">
        <v>7473</v>
      </c>
      <c r="Q593" s="101">
        <v>49.645042500000002</v>
      </c>
      <c r="R593" s="101">
        <v>18.1536008</v>
      </c>
      <c r="S593" s="100" t="s">
        <v>52</v>
      </c>
      <c r="T593" s="103" t="s">
        <v>121</v>
      </c>
      <c r="U593" s="103" t="s">
        <v>1902</v>
      </c>
      <c r="V593" s="103" t="s">
        <v>1903</v>
      </c>
      <c r="W593" s="103" t="s">
        <v>5495</v>
      </c>
    </row>
    <row r="594" spans="1:23" ht="15.75" customHeight="1">
      <c r="A594" s="96">
        <v>749</v>
      </c>
      <c r="B594" s="97" t="s">
        <v>99</v>
      </c>
      <c r="C594" s="96" t="s">
        <v>5506</v>
      </c>
      <c r="D594" s="96" t="s">
        <v>5506</v>
      </c>
      <c r="E594" s="96" t="s">
        <v>3224</v>
      </c>
      <c r="F594" s="96" t="s">
        <v>5507</v>
      </c>
      <c r="G594" s="99" t="s">
        <v>39</v>
      </c>
      <c r="H594" s="100" t="s">
        <v>114</v>
      </c>
      <c r="I594" s="100"/>
      <c r="J594" s="96"/>
      <c r="K594" s="96" t="s">
        <v>5508</v>
      </c>
      <c r="L594" s="96" t="s">
        <v>5509</v>
      </c>
      <c r="M594" s="96" t="s">
        <v>118</v>
      </c>
      <c r="N594" s="100" t="s">
        <v>119</v>
      </c>
      <c r="O594" s="96"/>
      <c r="P594" s="96" t="s">
        <v>5510</v>
      </c>
      <c r="Q594" s="101">
        <v>50.143966399999996</v>
      </c>
      <c r="R594" s="98">
        <v>15.1233986</v>
      </c>
      <c r="S594" s="100" t="s">
        <v>7447</v>
      </c>
      <c r="T594" s="103" t="s">
        <v>71</v>
      </c>
      <c r="U594" s="103" t="s">
        <v>882</v>
      </c>
      <c r="V594" s="103" t="s">
        <v>3224</v>
      </c>
      <c r="W594" s="103" t="s">
        <v>3224</v>
      </c>
    </row>
    <row r="595" spans="1:23" ht="15.75" customHeight="1">
      <c r="A595" s="96">
        <v>750</v>
      </c>
      <c r="B595" s="97" t="s">
        <v>99</v>
      </c>
      <c r="C595" s="96" t="s">
        <v>5511</v>
      </c>
      <c r="D595" s="96" t="s">
        <v>5511</v>
      </c>
      <c r="E595" s="96" t="s">
        <v>1018</v>
      </c>
      <c r="F595" s="96" t="s">
        <v>5512</v>
      </c>
      <c r="G595" s="99" t="s">
        <v>39</v>
      </c>
      <c r="H595" s="100" t="s">
        <v>114</v>
      </c>
      <c r="I595" s="100"/>
      <c r="J595" s="96"/>
      <c r="K595" s="96" t="s">
        <v>5513</v>
      </c>
      <c r="L595" s="96" t="s">
        <v>5514</v>
      </c>
      <c r="M595" s="96"/>
      <c r="N595" s="100" t="s">
        <v>119</v>
      </c>
      <c r="O595" s="96"/>
      <c r="P595" s="96" t="s">
        <v>7987</v>
      </c>
      <c r="Q595" s="101">
        <v>49.2107703</v>
      </c>
      <c r="R595" s="101">
        <v>16.586930299999999</v>
      </c>
      <c r="S595" s="100" t="s">
        <v>7447</v>
      </c>
      <c r="T595" s="103" t="s">
        <v>325</v>
      </c>
      <c r="U595" s="103" t="s">
        <v>1017</v>
      </c>
      <c r="V595" s="103" t="s">
        <v>1018</v>
      </c>
      <c r="W595" s="103" t="s">
        <v>1018</v>
      </c>
    </row>
    <row r="596" spans="1:23" ht="15.75" customHeight="1">
      <c r="A596" s="96">
        <v>751</v>
      </c>
      <c r="B596" s="97" t="s">
        <v>99</v>
      </c>
      <c r="C596" s="96" t="s">
        <v>5516</v>
      </c>
      <c r="D596" s="96" t="s">
        <v>5516</v>
      </c>
      <c r="E596" s="96" t="s">
        <v>627</v>
      </c>
      <c r="F596" s="96" t="s">
        <v>5517</v>
      </c>
      <c r="G596" s="99" t="s">
        <v>39</v>
      </c>
      <c r="H596" s="100" t="s">
        <v>114</v>
      </c>
      <c r="I596" s="100"/>
      <c r="J596" s="96"/>
      <c r="K596" s="96" t="s">
        <v>5518</v>
      </c>
      <c r="L596" s="96" t="s">
        <v>5519</v>
      </c>
      <c r="M596" s="96" t="s">
        <v>4809</v>
      </c>
      <c r="N596" s="100" t="s">
        <v>119</v>
      </c>
      <c r="O596" s="96"/>
      <c r="P596" s="96" t="s">
        <v>7988</v>
      </c>
      <c r="Q596" s="101">
        <v>50.227015799999997</v>
      </c>
      <c r="R596" s="101">
        <v>17.195774700000001</v>
      </c>
      <c r="S596" s="100" t="s">
        <v>52</v>
      </c>
      <c r="T596" s="103" t="s">
        <v>312</v>
      </c>
      <c r="U596" s="103" t="s">
        <v>627</v>
      </c>
      <c r="V596" s="103" t="s">
        <v>627</v>
      </c>
      <c r="W596" s="103" t="s">
        <v>627</v>
      </c>
    </row>
    <row r="597" spans="1:23" ht="15.75" customHeight="1">
      <c r="A597" s="96">
        <v>753</v>
      </c>
      <c r="B597" s="97" t="s">
        <v>99</v>
      </c>
      <c r="C597" s="96" t="s">
        <v>5525</v>
      </c>
      <c r="D597" s="96" t="s">
        <v>5525</v>
      </c>
      <c r="E597" s="96" t="s">
        <v>516</v>
      </c>
      <c r="F597" s="96" t="s">
        <v>5526</v>
      </c>
      <c r="G597" s="99" t="s">
        <v>39</v>
      </c>
      <c r="H597" s="100" t="s">
        <v>114</v>
      </c>
      <c r="I597" s="100"/>
      <c r="J597" s="96" t="s">
        <v>5527</v>
      </c>
      <c r="K597" s="96" t="s">
        <v>5528</v>
      </c>
      <c r="L597" s="96" t="s">
        <v>5529</v>
      </c>
      <c r="M597" s="96" t="s">
        <v>4111</v>
      </c>
      <c r="N597" s="100" t="s">
        <v>119</v>
      </c>
      <c r="O597" s="96"/>
      <c r="P597" s="96" t="s">
        <v>7989</v>
      </c>
      <c r="Q597" s="101">
        <v>49.939684</v>
      </c>
      <c r="R597" s="101">
        <v>17.905913000000002</v>
      </c>
      <c r="S597" s="100" t="s">
        <v>7447</v>
      </c>
      <c r="T597" s="103" t="s">
        <v>121</v>
      </c>
      <c r="U597" s="103" t="s">
        <v>516</v>
      </c>
      <c r="V597" s="103" t="s">
        <v>516</v>
      </c>
      <c r="W597" s="103" t="s">
        <v>516</v>
      </c>
    </row>
    <row r="598" spans="1:23" ht="15.75" customHeight="1">
      <c r="A598" s="96">
        <v>754</v>
      </c>
      <c r="B598" s="97" t="s">
        <v>99</v>
      </c>
      <c r="C598" s="96" t="s">
        <v>5531</v>
      </c>
      <c r="D598" s="96" t="s">
        <v>5531</v>
      </c>
      <c r="E598" s="96" t="s">
        <v>1018</v>
      </c>
      <c r="F598" s="96" t="s">
        <v>5532</v>
      </c>
      <c r="G598" s="99" t="s">
        <v>39</v>
      </c>
      <c r="H598" s="100" t="s">
        <v>114</v>
      </c>
      <c r="I598" s="100"/>
      <c r="J598" s="96"/>
      <c r="K598" s="96" t="s">
        <v>5533</v>
      </c>
      <c r="L598" s="96" t="s">
        <v>5534</v>
      </c>
      <c r="M598" s="96" t="s">
        <v>4111</v>
      </c>
      <c r="N598" s="100" t="s">
        <v>119</v>
      </c>
      <c r="O598" s="96"/>
      <c r="P598" s="96" t="s">
        <v>7990</v>
      </c>
      <c r="Q598" s="101">
        <v>49.193094700000003</v>
      </c>
      <c r="R598" s="101">
        <v>16.6063142</v>
      </c>
      <c r="S598" s="100" t="s">
        <v>7447</v>
      </c>
      <c r="T598" s="103" t="s">
        <v>325</v>
      </c>
      <c r="U598" s="103" t="s">
        <v>1017</v>
      </c>
      <c r="V598" s="103" t="s">
        <v>1018</v>
      </c>
      <c r="W598" s="103" t="s">
        <v>1018</v>
      </c>
    </row>
    <row r="599" spans="1:23" ht="15.75" customHeight="1">
      <c r="A599" s="96">
        <v>755</v>
      </c>
      <c r="B599" s="97" t="s">
        <v>99</v>
      </c>
      <c r="C599" s="96" t="s">
        <v>5536</v>
      </c>
      <c r="D599" s="96" t="s">
        <v>5536</v>
      </c>
      <c r="E599" s="96" t="s">
        <v>5537</v>
      </c>
      <c r="F599" s="96" t="s">
        <v>5538</v>
      </c>
      <c r="G599" s="99" t="s">
        <v>39</v>
      </c>
      <c r="H599" s="100" t="s">
        <v>114</v>
      </c>
      <c r="I599" s="100"/>
      <c r="J599" s="96"/>
      <c r="K599" s="96" t="s">
        <v>5533</v>
      </c>
      <c r="L599" s="96" t="s">
        <v>5534</v>
      </c>
      <c r="M599" s="96" t="s">
        <v>4111</v>
      </c>
      <c r="N599" s="100" t="s">
        <v>119</v>
      </c>
      <c r="O599" s="96"/>
      <c r="P599" s="96" t="s">
        <v>7991</v>
      </c>
      <c r="Q599" s="101">
        <v>49.2121894</v>
      </c>
      <c r="R599" s="101">
        <v>16.588182499999998</v>
      </c>
      <c r="S599" s="100" t="s">
        <v>7447</v>
      </c>
      <c r="T599" s="103" t="s">
        <v>325</v>
      </c>
      <c r="U599" s="103" t="s">
        <v>1017</v>
      </c>
      <c r="V599" s="103" t="s">
        <v>1018</v>
      </c>
      <c r="W599" s="103" t="s">
        <v>1018</v>
      </c>
    </row>
    <row r="600" spans="1:23" ht="15.75" customHeight="1">
      <c r="A600" s="96">
        <v>756</v>
      </c>
      <c r="B600" s="97" t="s">
        <v>99</v>
      </c>
      <c r="C600" s="96" t="s">
        <v>5541</v>
      </c>
      <c r="D600" s="96" t="s">
        <v>5541</v>
      </c>
      <c r="E600" s="96" t="s">
        <v>5542</v>
      </c>
      <c r="F600" s="96" t="s">
        <v>5543</v>
      </c>
      <c r="G600" s="99" t="s">
        <v>39</v>
      </c>
      <c r="H600" s="100" t="s">
        <v>114</v>
      </c>
      <c r="I600" s="100"/>
      <c r="J600" s="96" t="s">
        <v>5544</v>
      </c>
      <c r="K600" s="96" t="s">
        <v>5545</v>
      </c>
      <c r="L600" s="96" t="s">
        <v>5546</v>
      </c>
      <c r="M600" s="96" t="s">
        <v>4111</v>
      </c>
      <c r="N600" s="100" t="s">
        <v>119</v>
      </c>
      <c r="O600" s="96"/>
      <c r="P600" s="96" t="s">
        <v>7992</v>
      </c>
      <c r="Q600" s="101">
        <v>49.786186100000002</v>
      </c>
      <c r="R600" s="101">
        <v>18.132066699999999</v>
      </c>
      <c r="S600" s="100" t="s">
        <v>7447</v>
      </c>
      <c r="T600" s="103" t="s">
        <v>121</v>
      </c>
      <c r="U600" s="103" t="s">
        <v>122</v>
      </c>
      <c r="V600" s="103" t="s">
        <v>123</v>
      </c>
      <c r="W600" s="103" t="s">
        <v>5542</v>
      </c>
    </row>
    <row r="601" spans="1:23" ht="15.75" customHeight="1">
      <c r="A601" s="96">
        <v>757</v>
      </c>
      <c r="B601" s="97" t="s">
        <v>99</v>
      </c>
      <c r="C601" s="98" t="s">
        <v>5548</v>
      </c>
      <c r="D601" s="98" t="s">
        <v>5548</v>
      </c>
      <c r="E601" s="96" t="s">
        <v>2602</v>
      </c>
      <c r="F601" s="96" t="s">
        <v>5549</v>
      </c>
      <c r="G601" s="99" t="s">
        <v>39</v>
      </c>
      <c r="H601" s="100" t="s">
        <v>114</v>
      </c>
      <c r="I601" s="100"/>
      <c r="J601" s="102" t="s">
        <v>5550</v>
      </c>
      <c r="K601" s="96" t="s">
        <v>5551</v>
      </c>
      <c r="L601" s="96" t="s">
        <v>5552</v>
      </c>
      <c r="M601" s="96"/>
      <c r="N601" s="100" t="s">
        <v>119</v>
      </c>
      <c r="O601" s="96"/>
      <c r="P601" s="96" t="s">
        <v>7993</v>
      </c>
      <c r="Q601" s="101">
        <v>50.078074200000003</v>
      </c>
      <c r="R601" s="101">
        <v>14.4479331</v>
      </c>
      <c r="S601" s="100" t="s">
        <v>7447</v>
      </c>
      <c r="T601" s="103" t="s">
        <v>58</v>
      </c>
      <c r="U601" s="103" t="s">
        <v>58</v>
      </c>
      <c r="V601" s="103" t="s">
        <v>58</v>
      </c>
      <c r="W601" s="103" t="s">
        <v>59</v>
      </c>
    </row>
    <row r="602" spans="1:23" ht="15.75" customHeight="1">
      <c r="A602" s="96">
        <v>759</v>
      </c>
      <c r="B602" s="97" t="s">
        <v>99</v>
      </c>
      <c r="C602" s="96" t="s">
        <v>5558</v>
      </c>
      <c r="D602" s="96" t="s">
        <v>5558</v>
      </c>
      <c r="E602" s="96" t="s">
        <v>584</v>
      </c>
      <c r="F602" s="96" t="s">
        <v>5559</v>
      </c>
      <c r="G602" s="99" t="s">
        <v>39</v>
      </c>
      <c r="H602" s="100" t="s">
        <v>103</v>
      </c>
      <c r="I602" s="100"/>
      <c r="J602" s="96" t="s">
        <v>5560</v>
      </c>
      <c r="K602" s="96"/>
      <c r="L602" s="96" t="s">
        <v>5561</v>
      </c>
      <c r="M602" s="96"/>
      <c r="N602" s="96" t="s">
        <v>582</v>
      </c>
      <c r="O602" s="96"/>
      <c r="P602" s="96" t="s">
        <v>7994</v>
      </c>
      <c r="Q602" s="96">
        <v>49.740598300000002</v>
      </c>
      <c r="R602" s="96">
        <v>13.3735956</v>
      </c>
      <c r="S602" s="100" t="s">
        <v>7447</v>
      </c>
      <c r="T602" s="103" t="s">
        <v>217</v>
      </c>
      <c r="U602" s="103" t="s">
        <v>1139</v>
      </c>
      <c r="V602" s="103" t="s">
        <v>1140</v>
      </c>
      <c r="W602" s="103" t="s">
        <v>1140</v>
      </c>
    </row>
    <row r="603" spans="1:23" ht="15.75" customHeight="1">
      <c r="A603" s="96">
        <v>760</v>
      </c>
      <c r="B603" s="97" t="s">
        <v>99</v>
      </c>
      <c r="C603" s="96" t="s">
        <v>5563</v>
      </c>
      <c r="D603" s="96" t="s">
        <v>5563</v>
      </c>
      <c r="E603" s="96" t="s">
        <v>59</v>
      </c>
      <c r="F603" s="96" t="s">
        <v>5565</v>
      </c>
      <c r="G603" s="99" t="s">
        <v>39</v>
      </c>
      <c r="H603" s="100" t="s">
        <v>103</v>
      </c>
      <c r="I603" s="100"/>
      <c r="J603" s="96"/>
      <c r="K603" s="96" t="s">
        <v>5566</v>
      </c>
      <c r="L603" s="96" t="s">
        <v>5567</v>
      </c>
      <c r="M603" s="96" t="s">
        <v>5568</v>
      </c>
      <c r="N603" s="100" t="s">
        <v>6912</v>
      </c>
      <c r="O603" s="96"/>
      <c r="P603" s="96" t="s">
        <v>7995</v>
      </c>
      <c r="Q603" s="108">
        <v>50.1039806</v>
      </c>
      <c r="R603" s="108">
        <v>14.5117422</v>
      </c>
      <c r="S603" s="100" t="s">
        <v>7447</v>
      </c>
      <c r="T603" s="103" t="s">
        <v>58</v>
      </c>
      <c r="U603" s="103" t="s">
        <v>58</v>
      </c>
      <c r="V603" s="103" t="s">
        <v>58</v>
      </c>
      <c r="W603" s="103" t="s">
        <v>59</v>
      </c>
    </row>
    <row r="604" spans="1:23" ht="15.75" customHeight="1">
      <c r="A604" s="96">
        <v>765</v>
      </c>
      <c r="B604" s="97" t="s">
        <v>99</v>
      </c>
      <c r="C604" s="98" t="s">
        <v>5591</v>
      </c>
      <c r="D604" s="98" t="s">
        <v>5591</v>
      </c>
      <c r="E604" s="96" t="s">
        <v>3743</v>
      </c>
      <c r="F604" s="96" t="s">
        <v>5592</v>
      </c>
      <c r="G604" s="99" t="s">
        <v>39</v>
      </c>
      <c r="H604" s="100" t="s">
        <v>114</v>
      </c>
      <c r="I604" s="100"/>
      <c r="J604" s="102" t="s">
        <v>5593</v>
      </c>
      <c r="K604" s="96" t="s">
        <v>5594</v>
      </c>
      <c r="L604" s="96" t="s">
        <v>5595</v>
      </c>
      <c r="M604" s="96" t="s">
        <v>4809</v>
      </c>
      <c r="N604" s="100" t="s">
        <v>119</v>
      </c>
      <c r="O604" s="96"/>
      <c r="P604" s="96" t="s">
        <v>7996</v>
      </c>
      <c r="Q604" s="101">
        <v>49.039752800000002</v>
      </c>
      <c r="R604" s="101">
        <v>16.321425000000001</v>
      </c>
      <c r="S604" s="100" t="s">
        <v>7447</v>
      </c>
      <c r="T604" s="103" t="s">
        <v>325</v>
      </c>
      <c r="U604" s="103" t="s">
        <v>555</v>
      </c>
      <c r="V604" s="103" t="s">
        <v>3743</v>
      </c>
      <c r="W604" s="103" t="s">
        <v>3743</v>
      </c>
    </row>
    <row r="605" spans="1:23" ht="15.75" customHeight="1">
      <c r="A605" s="96">
        <v>766</v>
      </c>
      <c r="B605" s="97" t="s">
        <v>99</v>
      </c>
      <c r="C605" s="96" t="s">
        <v>5597</v>
      </c>
      <c r="D605" s="96" t="s">
        <v>5597</v>
      </c>
      <c r="E605" s="96" t="s">
        <v>894</v>
      </c>
      <c r="F605" s="96" t="s">
        <v>5598</v>
      </c>
      <c r="G605" s="99" t="s">
        <v>39</v>
      </c>
      <c r="H605" s="100" t="s">
        <v>103</v>
      </c>
      <c r="I605" s="100"/>
      <c r="J605" s="96"/>
      <c r="K605" s="96"/>
      <c r="L605" s="96" t="s">
        <v>776</v>
      </c>
      <c r="M605" s="96"/>
      <c r="N605" s="96" t="s">
        <v>772</v>
      </c>
      <c r="O605" s="96"/>
      <c r="P605" s="96" t="s">
        <v>7997</v>
      </c>
      <c r="Q605" s="96">
        <v>49.441634700000002</v>
      </c>
      <c r="R605" s="96">
        <v>12.929931099999999</v>
      </c>
      <c r="S605" s="100" t="s">
        <v>7447</v>
      </c>
      <c r="T605" s="103" t="s">
        <v>217</v>
      </c>
      <c r="U605" s="103" t="s">
        <v>894</v>
      </c>
      <c r="V605" s="103" t="s">
        <v>894</v>
      </c>
      <c r="W605" s="103" t="s">
        <v>894</v>
      </c>
    </row>
    <row r="606" spans="1:23" ht="15.75" customHeight="1">
      <c r="A606" s="96">
        <v>767</v>
      </c>
      <c r="B606" s="97" t="s">
        <v>99</v>
      </c>
      <c r="C606" s="98" t="s">
        <v>5600</v>
      </c>
      <c r="D606" s="98" t="s">
        <v>5600</v>
      </c>
      <c r="E606" s="96" t="s">
        <v>1034</v>
      </c>
      <c r="F606" s="96" t="s">
        <v>5601</v>
      </c>
      <c r="G606" s="99" t="s">
        <v>39</v>
      </c>
      <c r="H606" s="100" t="s">
        <v>114</v>
      </c>
      <c r="I606" s="100"/>
      <c r="J606" s="96"/>
      <c r="K606" s="96" t="s">
        <v>5602</v>
      </c>
      <c r="L606" s="96" t="s">
        <v>5603</v>
      </c>
      <c r="M606" s="96" t="s">
        <v>4111</v>
      </c>
      <c r="N606" s="100" t="s">
        <v>119</v>
      </c>
      <c r="O606" s="96"/>
      <c r="P606" s="96" t="s">
        <v>7474</v>
      </c>
      <c r="Q606" s="101">
        <v>49.593277200000003</v>
      </c>
      <c r="R606" s="101">
        <v>17.243660800000001</v>
      </c>
      <c r="S606" s="100" t="s">
        <v>7447</v>
      </c>
      <c r="T606" s="103" t="s">
        <v>312</v>
      </c>
      <c r="U606" s="103" t="s">
        <v>1034</v>
      </c>
      <c r="V606" s="103" t="s">
        <v>1034</v>
      </c>
      <c r="W606" s="103" t="s">
        <v>1034</v>
      </c>
    </row>
    <row r="607" spans="1:23" ht="15.75" customHeight="1">
      <c r="A607" s="96">
        <v>768</v>
      </c>
      <c r="B607" s="97" t="s">
        <v>99</v>
      </c>
      <c r="C607" s="96" t="s">
        <v>5605</v>
      </c>
      <c r="D607" s="96" t="s">
        <v>5605</v>
      </c>
      <c r="E607" s="96" t="s">
        <v>976</v>
      </c>
      <c r="F607" s="96" t="s">
        <v>5607</v>
      </c>
      <c r="G607" s="99" t="s">
        <v>39</v>
      </c>
      <c r="H607" s="100" t="s">
        <v>103</v>
      </c>
      <c r="I607" s="100"/>
      <c r="J607" s="96"/>
      <c r="K607" s="96" t="s">
        <v>5609</v>
      </c>
      <c r="L607" s="96" t="s">
        <v>5610</v>
      </c>
      <c r="M607" s="96" t="s">
        <v>5611</v>
      </c>
      <c r="N607" s="96" t="s">
        <v>5606</v>
      </c>
      <c r="O607" s="96"/>
      <c r="P607" s="96" t="s">
        <v>7998</v>
      </c>
      <c r="Q607" s="108">
        <v>49.013064200000002</v>
      </c>
      <c r="R607" s="108">
        <v>13.997377800000001</v>
      </c>
      <c r="S607" s="100" t="s">
        <v>7447</v>
      </c>
      <c r="T607" s="103" t="s">
        <v>369</v>
      </c>
      <c r="U607" s="103" t="s">
        <v>976</v>
      </c>
      <c r="V607" s="103" t="s">
        <v>976</v>
      </c>
      <c r="W607" s="103" t="s">
        <v>976</v>
      </c>
    </row>
    <row r="608" spans="1:23" ht="15.75" customHeight="1">
      <c r="A608" s="96">
        <v>769</v>
      </c>
      <c r="B608" s="97" t="s">
        <v>99</v>
      </c>
      <c r="C608" s="98" t="s">
        <v>5613</v>
      </c>
      <c r="D608" s="98" t="s">
        <v>5613</v>
      </c>
      <c r="E608" s="96" t="s">
        <v>5614</v>
      </c>
      <c r="F608" s="96" t="s">
        <v>5615</v>
      </c>
      <c r="G608" s="99" t="s">
        <v>39</v>
      </c>
      <c r="H608" s="100" t="s">
        <v>114</v>
      </c>
      <c r="I608" s="100"/>
      <c r="J608" s="96" t="s">
        <v>5616</v>
      </c>
      <c r="K608" s="96"/>
      <c r="L608" s="96" t="s">
        <v>5618</v>
      </c>
      <c r="M608" s="96"/>
      <c r="N608" s="100" t="s">
        <v>119</v>
      </c>
      <c r="O608" s="96"/>
      <c r="P608" s="96" t="s">
        <v>7475</v>
      </c>
      <c r="Q608" s="101">
        <v>49.438921399999998</v>
      </c>
      <c r="R608" s="101">
        <v>15.5742756</v>
      </c>
      <c r="S608" s="100" t="s">
        <v>7447</v>
      </c>
      <c r="T608" s="103" t="s">
        <v>144</v>
      </c>
      <c r="U608" s="103" t="s">
        <v>636</v>
      </c>
      <c r="V608" s="103" t="s">
        <v>636</v>
      </c>
      <c r="W608" s="103" t="s">
        <v>636</v>
      </c>
    </row>
    <row r="609" spans="1:23" ht="15.75" customHeight="1">
      <c r="A609" s="96">
        <v>771</v>
      </c>
      <c r="B609" s="97" t="s">
        <v>99</v>
      </c>
      <c r="C609" s="96" t="s">
        <v>5624</v>
      </c>
      <c r="D609" s="96" t="s">
        <v>5624</v>
      </c>
      <c r="E609" s="96" t="s">
        <v>316</v>
      </c>
      <c r="F609" s="96" t="s">
        <v>5625</v>
      </c>
      <c r="G609" s="99" t="s">
        <v>39</v>
      </c>
      <c r="H609" s="100" t="s">
        <v>114</v>
      </c>
      <c r="I609" s="100"/>
      <c r="J609" s="96" t="s">
        <v>5626</v>
      </c>
      <c r="K609" s="96" t="s">
        <v>5627</v>
      </c>
      <c r="L609" s="96" t="s">
        <v>5628</v>
      </c>
      <c r="M609" s="96"/>
      <c r="N609" s="100" t="s">
        <v>119</v>
      </c>
      <c r="O609" s="96"/>
      <c r="P609" s="96" t="s">
        <v>7999</v>
      </c>
      <c r="Q609" s="101">
        <v>49.290037499999997</v>
      </c>
      <c r="R609" s="101">
        <v>17.390594400000001</v>
      </c>
      <c r="S609" s="100" t="s">
        <v>7447</v>
      </c>
      <c r="T609" s="103" t="s">
        <v>97</v>
      </c>
      <c r="U609" s="103" t="s">
        <v>316</v>
      </c>
      <c r="V609" s="103" t="s">
        <v>316</v>
      </c>
      <c r="W609" s="103" t="s">
        <v>316</v>
      </c>
    </row>
    <row r="610" spans="1:23" ht="15.75" customHeight="1">
      <c r="A610" s="96">
        <v>772</v>
      </c>
      <c r="B610" s="97" t="s">
        <v>99</v>
      </c>
      <c r="C610" s="96" t="s">
        <v>5630</v>
      </c>
      <c r="D610" s="96" t="s">
        <v>5630</v>
      </c>
      <c r="E610" s="96" t="s">
        <v>195</v>
      </c>
      <c r="F610" s="96" t="s">
        <v>5631</v>
      </c>
      <c r="G610" s="99" t="s">
        <v>39</v>
      </c>
      <c r="H610" s="100" t="s">
        <v>6913</v>
      </c>
      <c r="I610" s="100"/>
      <c r="J610" s="96"/>
      <c r="K610" s="96" t="s">
        <v>5632</v>
      </c>
      <c r="L610" s="96" t="s">
        <v>1804</v>
      </c>
      <c r="M610" s="96"/>
      <c r="N610" s="96" t="s">
        <v>1800</v>
      </c>
      <c r="O610" s="96"/>
      <c r="P610" s="96" t="s">
        <v>8000</v>
      </c>
      <c r="Q610" s="108">
        <v>49.6893472</v>
      </c>
      <c r="R610" s="108">
        <v>14.013971700000001</v>
      </c>
      <c r="S610" s="100" t="s">
        <v>7447</v>
      </c>
      <c r="T610" s="103" t="s">
        <v>71</v>
      </c>
      <c r="U610" s="103" t="s">
        <v>195</v>
      </c>
      <c r="V610" s="103" t="s">
        <v>195</v>
      </c>
      <c r="W610" s="103" t="s">
        <v>195</v>
      </c>
    </row>
    <row r="611" spans="1:23" ht="15.75" customHeight="1">
      <c r="A611" s="96">
        <v>777</v>
      </c>
      <c r="B611" s="97" t="s">
        <v>99</v>
      </c>
      <c r="C611" s="96" t="s">
        <v>5650</v>
      </c>
      <c r="D611" s="100" t="s">
        <v>6915</v>
      </c>
      <c r="E611" s="96" t="s">
        <v>123</v>
      </c>
      <c r="F611" s="96" t="s">
        <v>5652</v>
      </c>
      <c r="G611" s="99" t="s">
        <v>39</v>
      </c>
      <c r="H611" s="100" t="s">
        <v>103</v>
      </c>
      <c r="I611" s="100"/>
      <c r="J611" s="96" t="s">
        <v>5653</v>
      </c>
      <c r="K611" s="96" t="s">
        <v>5654</v>
      </c>
      <c r="L611" s="96" t="s">
        <v>5655</v>
      </c>
      <c r="M611" s="96" t="s">
        <v>5656</v>
      </c>
      <c r="N611" s="100" t="s">
        <v>6917</v>
      </c>
      <c r="O611" s="96"/>
      <c r="P611" s="96" t="s">
        <v>8001</v>
      </c>
      <c r="Q611" s="101">
        <v>49.782297200000002</v>
      </c>
      <c r="R611" s="101">
        <v>18.269557500000001</v>
      </c>
      <c r="S611" s="100" t="s">
        <v>52</v>
      </c>
      <c r="T611" s="103" t="s">
        <v>121</v>
      </c>
      <c r="U611" s="103" t="s">
        <v>122</v>
      </c>
      <c r="V611" s="103" t="s">
        <v>123</v>
      </c>
      <c r="W611" s="103" t="s">
        <v>123</v>
      </c>
    </row>
    <row r="612" spans="1:23" ht="15.75" customHeight="1">
      <c r="A612" s="96">
        <v>780</v>
      </c>
      <c r="B612" s="97" t="s">
        <v>99</v>
      </c>
      <c r="C612" s="96" t="s">
        <v>5667</v>
      </c>
      <c r="D612" s="96" t="s">
        <v>5667</v>
      </c>
      <c r="E612" s="96" t="s">
        <v>208</v>
      </c>
      <c r="F612" s="96" t="s">
        <v>5668</v>
      </c>
      <c r="G612" s="99" t="s">
        <v>39</v>
      </c>
      <c r="H612" s="100" t="s">
        <v>114</v>
      </c>
      <c r="I612" s="100"/>
      <c r="J612" s="96"/>
      <c r="K612" s="96" t="s">
        <v>5669</v>
      </c>
      <c r="L612" s="96" t="s">
        <v>5670</v>
      </c>
      <c r="M612" s="96" t="s">
        <v>5671</v>
      </c>
      <c r="N612" s="100" t="s">
        <v>6920</v>
      </c>
      <c r="O612" s="96"/>
      <c r="P612" s="96" t="s">
        <v>7476</v>
      </c>
      <c r="Q612" s="101">
        <v>50.210200149999999</v>
      </c>
      <c r="R612" s="101">
        <v>15.83351968</v>
      </c>
      <c r="S612" s="100" t="s">
        <v>7447</v>
      </c>
      <c r="T612" s="103" t="s">
        <v>207</v>
      </c>
      <c r="U612" s="103" t="s">
        <v>208</v>
      </c>
      <c r="V612" s="103" t="s">
        <v>208</v>
      </c>
      <c r="W612" s="103" t="s">
        <v>208</v>
      </c>
    </row>
    <row r="613" spans="1:23" ht="15.75" customHeight="1">
      <c r="A613" s="96">
        <v>781</v>
      </c>
      <c r="B613" s="97" t="s">
        <v>99</v>
      </c>
      <c r="C613" s="98" t="s">
        <v>5674</v>
      </c>
      <c r="D613" s="98" t="s">
        <v>5674</v>
      </c>
      <c r="E613" s="96" t="s">
        <v>1556</v>
      </c>
      <c r="F613" s="96" t="s">
        <v>5675</v>
      </c>
      <c r="G613" s="99" t="s">
        <v>39</v>
      </c>
      <c r="H613" s="100" t="s">
        <v>114</v>
      </c>
      <c r="I613" s="100"/>
      <c r="J613" s="96"/>
      <c r="K613" s="96" t="s">
        <v>5676</v>
      </c>
      <c r="L613" s="96" t="s">
        <v>5677</v>
      </c>
      <c r="M613" s="96" t="s">
        <v>4111</v>
      </c>
      <c r="N613" s="100" t="s">
        <v>119</v>
      </c>
      <c r="O613" s="96"/>
      <c r="P613" s="96" t="s">
        <v>5678</v>
      </c>
      <c r="Q613" s="101">
        <v>50.061651400000002</v>
      </c>
      <c r="R613" s="101">
        <v>14.3981408</v>
      </c>
      <c r="S613" s="100" t="s">
        <v>7447</v>
      </c>
      <c r="T613" s="103" t="s">
        <v>58</v>
      </c>
      <c r="U613" s="103" t="s">
        <v>58</v>
      </c>
      <c r="V613" s="103" t="s">
        <v>58</v>
      </c>
      <c r="W613" s="103" t="s">
        <v>59</v>
      </c>
    </row>
    <row r="614" spans="1:23" ht="15.75" customHeight="1">
      <c r="A614" s="96">
        <v>782</v>
      </c>
      <c r="B614" s="97" t="s">
        <v>99</v>
      </c>
      <c r="C614" s="96" t="s">
        <v>5679</v>
      </c>
      <c r="D614" s="96" t="s">
        <v>5679</v>
      </c>
      <c r="E614" s="96" t="s">
        <v>1018</v>
      </c>
      <c r="F614" s="96" t="s">
        <v>5680</v>
      </c>
      <c r="G614" s="99" t="s">
        <v>39</v>
      </c>
      <c r="H614" s="100" t="s">
        <v>103</v>
      </c>
      <c r="I614" s="100"/>
      <c r="J614" s="96" t="s">
        <v>5681</v>
      </c>
      <c r="K614" s="96" t="s">
        <v>5682</v>
      </c>
      <c r="L614" s="96" t="s">
        <v>1415</v>
      </c>
      <c r="M614" s="96"/>
      <c r="N614" s="96" t="s">
        <v>1410</v>
      </c>
      <c r="O614" s="96"/>
      <c r="P614" s="96" t="s">
        <v>8002</v>
      </c>
      <c r="Q614" s="96">
        <v>49.196300000000001</v>
      </c>
      <c r="R614" s="96">
        <v>16.601800000000001</v>
      </c>
      <c r="S614" s="100" t="s">
        <v>7447</v>
      </c>
      <c r="T614" s="103" t="s">
        <v>325</v>
      </c>
      <c r="U614" s="103" t="s">
        <v>1017</v>
      </c>
      <c r="V614" s="103" t="s">
        <v>1018</v>
      </c>
      <c r="W614" s="103" t="s">
        <v>1018</v>
      </c>
    </row>
    <row r="615" spans="1:23" ht="15.75" customHeight="1">
      <c r="A615" s="96">
        <v>783</v>
      </c>
      <c r="B615" s="97" t="s">
        <v>99</v>
      </c>
      <c r="C615" s="98" t="s">
        <v>5684</v>
      </c>
      <c r="D615" s="98" t="s">
        <v>5684</v>
      </c>
      <c r="E615" s="96" t="s">
        <v>1785</v>
      </c>
      <c r="F615" s="96" t="s">
        <v>5685</v>
      </c>
      <c r="G615" s="99" t="s">
        <v>39</v>
      </c>
      <c r="H615" s="100" t="s">
        <v>114</v>
      </c>
      <c r="I615" s="100"/>
      <c r="J615" s="96" t="s">
        <v>5686</v>
      </c>
      <c r="K615" s="96" t="s">
        <v>5687</v>
      </c>
      <c r="L615" s="96" t="s">
        <v>5688</v>
      </c>
      <c r="M615" s="96" t="s">
        <v>5689</v>
      </c>
      <c r="N615" s="100" t="s">
        <v>6922</v>
      </c>
      <c r="O615" s="96"/>
      <c r="P615" s="96" t="s">
        <v>7477</v>
      </c>
      <c r="Q615" s="101">
        <v>50.080489399999998</v>
      </c>
      <c r="R615" s="101">
        <v>14.449227799999999</v>
      </c>
      <c r="S615" s="100" t="s">
        <v>7447</v>
      </c>
      <c r="T615" s="103" t="s">
        <v>58</v>
      </c>
      <c r="U615" s="103" t="s">
        <v>58</v>
      </c>
      <c r="V615" s="103" t="s">
        <v>58</v>
      </c>
      <c r="W615" s="103" t="s">
        <v>59</v>
      </c>
    </row>
    <row r="616" spans="1:23" ht="15.75" customHeight="1">
      <c r="A616" s="96">
        <v>785</v>
      </c>
      <c r="B616" s="97" t="s">
        <v>99</v>
      </c>
      <c r="C616" s="96" t="s">
        <v>5697</v>
      </c>
      <c r="D616" s="100" t="s">
        <v>6923</v>
      </c>
      <c r="E616" s="96" t="s">
        <v>5398</v>
      </c>
      <c r="F616" s="96" t="s">
        <v>5698</v>
      </c>
      <c r="G616" s="99" t="s">
        <v>39</v>
      </c>
      <c r="H616" s="100" t="s">
        <v>114</v>
      </c>
      <c r="I616" s="100"/>
      <c r="J616" s="96" t="s">
        <v>5699</v>
      </c>
      <c r="K616" s="96" t="s">
        <v>2329</v>
      </c>
      <c r="L616" s="96" t="s">
        <v>5700</v>
      </c>
      <c r="M616" s="96" t="s">
        <v>118</v>
      </c>
      <c r="N616" s="100" t="s">
        <v>119</v>
      </c>
      <c r="O616" s="96"/>
      <c r="P616" s="96" t="s">
        <v>7478</v>
      </c>
      <c r="Q616" s="106">
        <v>49.835979700000003</v>
      </c>
      <c r="R616" s="106">
        <v>18.25948</v>
      </c>
      <c r="S616" s="100" t="s">
        <v>52</v>
      </c>
      <c r="T616" s="103" t="s">
        <v>121</v>
      </c>
      <c r="U616" s="103" t="s">
        <v>122</v>
      </c>
      <c r="V616" s="103" t="s">
        <v>123</v>
      </c>
      <c r="W616" s="103" t="s">
        <v>123</v>
      </c>
    </row>
    <row r="617" spans="1:23" ht="15.75" customHeight="1">
      <c r="A617" s="96">
        <v>786</v>
      </c>
      <c r="B617" s="97" t="s">
        <v>99</v>
      </c>
      <c r="C617" s="98" t="s">
        <v>5702</v>
      </c>
      <c r="D617" s="98" t="s">
        <v>5702</v>
      </c>
      <c r="E617" s="96" t="s">
        <v>1785</v>
      </c>
      <c r="F617" s="96" t="s">
        <v>5703</v>
      </c>
      <c r="G617" s="99" t="s">
        <v>39</v>
      </c>
      <c r="H617" s="100" t="s">
        <v>114</v>
      </c>
      <c r="I617" s="100"/>
      <c r="J617" s="96" t="s">
        <v>5704</v>
      </c>
      <c r="K617" s="96"/>
      <c r="L617" s="96" t="s">
        <v>5705</v>
      </c>
      <c r="M617" s="96" t="s">
        <v>4111</v>
      </c>
      <c r="N617" s="100" t="s">
        <v>119</v>
      </c>
      <c r="O617" s="96"/>
      <c r="P617" s="96" t="s">
        <v>7479</v>
      </c>
      <c r="Q617" s="101">
        <v>50.087459199999998</v>
      </c>
      <c r="R617" s="101">
        <v>14.4535392</v>
      </c>
      <c r="S617" s="100" t="s">
        <v>7447</v>
      </c>
      <c r="T617" s="103" t="s">
        <v>58</v>
      </c>
      <c r="U617" s="103" t="s">
        <v>58</v>
      </c>
      <c r="V617" s="103" t="s">
        <v>58</v>
      </c>
      <c r="W617" s="103" t="s">
        <v>59</v>
      </c>
    </row>
    <row r="618" spans="1:23" ht="15.75" customHeight="1">
      <c r="A618" s="96">
        <v>787</v>
      </c>
      <c r="B618" s="97" t="s">
        <v>99</v>
      </c>
      <c r="C618" s="96" t="s">
        <v>2306</v>
      </c>
      <c r="D618" s="96" t="s">
        <v>2306</v>
      </c>
      <c r="E618" s="96" t="s">
        <v>555</v>
      </c>
      <c r="F618" s="96" t="s">
        <v>5707</v>
      </c>
      <c r="G618" s="99" t="s">
        <v>39</v>
      </c>
      <c r="H618" s="100" t="s">
        <v>103</v>
      </c>
      <c r="I618" s="100"/>
      <c r="J618" s="96" t="s">
        <v>5708</v>
      </c>
      <c r="K618" s="96" t="s">
        <v>5709</v>
      </c>
      <c r="L618" s="96" t="s">
        <v>2309</v>
      </c>
      <c r="M618" s="96" t="s">
        <v>4111</v>
      </c>
      <c r="N618" s="100" t="s">
        <v>6924</v>
      </c>
      <c r="O618" s="96"/>
      <c r="P618" s="96" t="s">
        <v>8003</v>
      </c>
      <c r="Q618" s="96">
        <v>48.854715800000001</v>
      </c>
      <c r="R618" s="96">
        <v>16.0489128</v>
      </c>
      <c r="S618" s="100" t="s">
        <v>7447</v>
      </c>
      <c r="T618" s="103" t="s">
        <v>325</v>
      </c>
      <c r="U618" s="103" t="s">
        <v>555</v>
      </c>
      <c r="V618" s="103" t="s">
        <v>555</v>
      </c>
      <c r="W618" s="103" t="s">
        <v>555</v>
      </c>
    </row>
    <row r="619" spans="1:23" ht="15.75" customHeight="1">
      <c r="A619" s="96">
        <v>789</v>
      </c>
      <c r="B619" s="97" t="s">
        <v>99</v>
      </c>
      <c r="C619" s="96" t="s">
        <v>5716</v>
      </c>
      <c r="D619" s="96" t="s">
        <v>5716</v>
      </c>
      <c r="E619" s="96" t="s">
        <v>1018</v>
      </c>
      <c r="F619" s="96" t="s">
        <v>5717</v>
      </c>
      <c r="G619" s="99" t="s">
        <v>39</v>
      </c>
      <c r="H619" s="100" t="s">
        <v>114</v>
      </c>
      <c r="I619" s="100"/>
      <c r="J619" s="96"/>
      <c r="K619" s="96" t="s">
        <v>5718</v>
      </c>
      <c r="L619" s="96" t="s">
        <v>5719</v>
      </c>
      <c r="M619" s="96" t="s">
        <v>4111</v>
      </c>
      <c r="N619" s="100" t="s">
        <v>119</v>
      </c>
      <c r="O619" s="96"/>
      <c r="P619" s="96" t="s">
        <v>8004</v>
      </c>
      <c r="Q619" s="101">
        <v>49.199884699999998</v>
      </c>
      <c r="R619" s="101">
        <v>16.606460800000001</v>
      </c>
      <c r="S619" s="100" t="s">
        <v>7447</v>
      </c>
      <c r="T619" s="103" t="s">
        <v>325</v>
      </c>
      <c r="U619" s="103" t="s">
        <v>1017</v>
      </c>
      <c r="V619" s="103" t="s">
        <v>1018</v>
      </c>
      <c r="W619" s="103" t="s">
        <v>1018</v>
      </c>
    </row>
    <row r="620" spans="1:23" ht="15.75" customHeight="1">
      <c r="A620" s="96">
        <v>790</v>
      </c>
      <c r="B620" s="97" t="s">
        <v>99</v>
      </c>
      <c r="C620" s="96" t="s">
        <v>5721</v>
      </c>
      <c r="D620" s="96" t="s">
        <v>5721</v>
      </c>
      <c r="E620" s="96" t="s">
        <v>1018</v>
      </c>
      <c r="F620" s="96" t="s">
        <v>5722</v>
      </c>
      <c r="G620" s="99" t="s">
        <v>39</v>
      </c>
      <c r="H620" s="100" t="s">
        <v>114</v>
      </c>
      <c r="I620" s="100"/>
      <c r="J620" s="96" t="s">
        <v>5723</v>
      </c>
      <c r="K620" s="96" t="s">
        <v>5724</v>
      </c>
      <c r="L620" s="96" t="s">
        <v>5725</v>
      </c>
      <c r="M620" s="96"/>
      <c r="N620" s="96" t="s">
        <v>5726</v>
      </c>
      <c r="O620" s="96"/>
      <c r="P620" s="96" t="s">
        <v>8005</v>
      </c>
      <c r="Q620" s="101">
        <v>49.181566400000001</v>
      </c>
      <c r="R620" s="101">
        <v>16.599021400000002</v>
      </c>
      <c r="S620" s="100" t="s">
        <v>7447</v>
      </c>
      <c r="T620" s="103" t="s">
        <v>325</v>
      </c>
      <c r="U620" s="103" t="s">
        <v>1017</v>
      </c>
      <c r="V620" s="103" t="s">
        <v>1018</v>
      </c>
      <c r="W620" s="103" t="s">
        <v>1018</v>
      </c>
    </row>
    <row r="621" spans="1:23" ht="15.75" customHeight="1">
      <c r="A621" s="96">
        <v>791</v>
      </c>
      <c r="B621" s="97" t="s">
        <v>99</v>
      </c>
      <c r="C621" s="96" t="s">
        <v>5728</v>
      </c>
      <c r="D621" s="96" t="s">
        <v>5728</v>
      </c>
      <c r="E621" s="96" t="s">
        <v>3161</v>
      </c>
      <c r="F621" s="96" t="s">
        <v>5729</v>
      </c>
      <c r="G621" s="99" t="s">
        <v>39</v>
      </c>
      <c r="H621" s="100" t="s">
        <v>103</v>
      </c>
      <c r="I621" s="100"/>
      <c r="J621" s="96" t="s">
        <v>5730</v>
      </c>
      <c r="K621" s="96"/>
      <c r="L621" s="96" t="s">
        <v>3165</v>
      </c>
      <c r="M621" s="96"/>
      <c r="N621" s="96" t="s">
        <v>3161</v>
      </c>
      <c r="O621" s="96"/>
      <c r="P621" s="96" t="s">
        <v>8006</v>
      </c>
      <c r="Q621" s="108">
        <v>48.937663299999997</v>
      </c>
      <c r="R621" s="108">
        <v>15.7294394</v>
      </c>
      <c r="S621" s="100" t="s">
        <v>7447</v>
      </c>
      <c r="T621" s="103" t="s">
        <v>325</v>
      </c>
      <c r="U621" s="103" t="s">
        <v>555</v>
      </c>
      <c r="V621" s="103" t="s">
        <v>555</v>
      </c>
      <c r="W621" s="103" t="s">
        <v>3161</v>
      </c>
    </row>
    <row r="622" spans="1:23" ht="15.75" customHeight="1">
      <c r="A622" s="96">
        <v>792</v>
      </c>
      <c r="B622" s="97" t="s">
        <v>99</v>
      </c>
      <c r="C622" s="96" t="s">
        <v>5732</v>
      </c>
      <c r="D622" s="96" t="s">
        <v>5732</v>
      </c>
      <c r="E622" s="96" t="s">
        <v>1198</v>
      </c>
      <c r="F622" s="96" t="s">
        <v>5734</v>
      </c>
      <c r="G622" s="99" t="s">
        <v>39</v>
      </c>
      <c r="H622" s="100" t="s">
        <v>114</v>
      </c>
      <c r="I622" s="100"/>
      <c r="J622" s="96" t="s">
        <v>5735</v>
      </c>
      <c r="K622" s="96" t="s">
        <v>5736</v>
      </c>
      <c r="L622" s="96" t="s">
        <v>5737</v>
      </c>
      <c r="M622" s="96" t="s">
        <v>5738</v>
      </c>
      <c r="N622" s="100" t="s">
        <v>6926</v>
      </c>
      <c r="O622" s="96"/>
      <c r="P622" s="96" t="s">
        <v>8007</v>
      </c>
      <c r="Q622" s="101">
        <v>50.040744400000001</v>
      </c>
      <c r="R622" s="101">
        <v>15.780799399999999</v>
      </c>
      <c r="S622" s="100" t="s">
        <v>52</v>
      </c>
      <c r="T622" s="103" t="s">
        <v>483</v>
      </c>
      <c r="U622" s="103" t="s">
        <v>1198</v>
      </c>
      <c r="V622" s="103" t="s">
        <v>1198</v>
      </c>
      <c r="W622" s="103" t="s">
        <v>1198</v>
      </c>
    </row>
    <row r="623" spans="1:23" ht="15.75" customHeight="1">
      <c r="A623" s="96">
        <v>793</v>
      </c>
      <c r="B623" s="97" t="s">
        <v>99</v>
      </c>
      <c r="C623" s="96" t="s">
        <v>5741</v>
      </c>
      <c r="D623" s="96" t="s">
        <v>5741</v>
      </c>
      <c r="E623" s="96" t="s">
        <v>1018</v>
      </c>
      <c r="F623" s="96" t="s">
        <v>5742</v>
      </c>
      <c r="G623" s="99" t="s">
        <v>39</v>
      </c>
      <c r="H623" s="100" t="s">
        <v>103</v>
      </c>
      <c r="I623" s="100"/>
      <c r="J623" s="96" t="s">
        <v>5743</v>
      </c>
      <c r="K623" s="96" t="s">
        <v>5744</v>
      </c>
      <c r="L623" s="96" t="s">
        <v>1846</v>
      </c>
      <c r="M623" s="96"/>
      <c r="N623" s="96" t="s">
        <v>1843</v>
      </c>
      <c r="O623" s="96"/>
      <c r="P623" s="96" t="s">
        <v>8008</v>
      </c>
      <c r="Q623" s="96">
        <v>49.195801699999997</v>
      </c>
      <c r="R623" s="96">
        <v>16.6107008</v>
      </c>
      <c r="S623" s="100" t="s">
        <v>7447</v>
      </c>
      <c r="T623" s="103" t="s">
        <v>325</v>
      </c>
      <c r="U623" s="103" t="s">
        <v>1017</v>
      </c>
      <c r="V623" s="103" t="s">
        <v>1018</v>
      </c>
      <c r="W623" s="103" t="s">
        <v>1018</v>
      </c>
    </row>
    <row r="624" spans="1:23" ht="15.75" customHeight="1">
      <c r="A624" s="96">
        <v>794</v>
      </c>
      <c r="B624" s="97" t="s">
        <v>99</v>
      </c>
      <c r="C624" s="96" t="s">
        <v>5741</v>
      </c>
      <c r="D624" s="96" t="s">
        <v>5741</v>
      </c>
      <c r="E624" s="96" t="s">
        <v>1018</v>
      </c>
      <c r="F624" s="96" t="s">
        <v>5746</v>
      </c>
      <c r="G624" s="99" t="s">
        <v>39</v>
      </c>
      <c r="H624" s="100" t="s">
        <v>103</v>
      </c>
      <c r="I624" s="100"/>
      <c r="J624" s="96" t="s">
        <v>5743</v>
      </c>
      <c r="K624" s="96" t="s">
        <v>5744</v>
      </c>
      <c r="L624" s="96" t="s">
        <v>1846</v>
      </c>
      <c r="M624" s="96"/>
      <c r="N624" s="96" t="s">
        <v>1843</v>
      </c>
      <c r="O624" s="96"/>
      <c r="P624" s="96" t="s">
        <v>8009</v>
      </c>
      <c r="Q624" s="96">
        <v>49.192292199999997</v>
      </c>
      <c r="R624" s="96">
        <v>16.607138299999999</v>
      </c>
      <c r="S624" s="100" t="s">
        <v>7447</v>
      </c>
      <c r="T624" s="103" t="s">
        <v>325</v>
      </c>
      <c r="U624" s="103" t="s">
        <v>1017</v>
      </c>
      <c r="V624" s="103" t="s">
        <v>1018</v>
      </c>
      <c r="W624" s="103" t="s">
        <v>1018</v>
      </c>
    </row>
    <row r="625" spans="1:23" ht="15.75" customHeight="1">
      <c r="A625" s="96">
        <v>795</v>
      </c>
      <c r="B625" s="97" t="s">
        <v>99</v>
      </c>
      <c r="C625" s="96" t="s">
        <v>5748</v>
      </c>
      <c r="D625" s="96" t="s">
        <v>5748</v>
      </c>
      <c r="E625" s="96" t="s">
        <v>1838</v>
      </c>
      <c r="F625" s="96" t="s">
        <v>5749</v>
      </c>
      <c r="G625" s="99" t="s">
        <v>39</v>
      </c>
      <c r="H625" s="100" t="s">
        <v>114</v>
      </c>
      <c r="I625" s="100"/>
      <c r="J625" s="96" t="s">
        <v>5750</v>
      </c>
      <c r="K625" s="96" t="s">
        <v>5751</v>
      </c>
      <c r="L625" s="96" t="s">
        <v>5752</v>
      </c>
      <c r="M625" s="96" t="s">
        <v>4111</v>
      </c>
      <c r="N625" s="100" t="s">
        <v>119</v>
      </c>
      <c r="O625" s="96"/>
      <c r="P625" s="96" t="s">
        <v>5753</v>
      </c>
      <c r="Q625" s="106">
        <v>50.028518300000002</v>
      </c>
      <c r="R625" s="106">
        <v>15.201885600000001</v>
      </c>
      <c r="S625" s="100" t="s">
        <v>7447</v>
      </c>
      <c r="T625" s="103" t="s">
        <v>71</v>
      </c>
      <c r="U625" s="103" t="s">
        <v>1838</v>
      </c>
      <c r="V625" s="103" t="s">
        <v>1838</v>
      </c>
      <c r="W625" s="103" t="s">
        <v>1838</v>
      </c>
    </row>
    <row r="626" spans="1:23" ht="15.75" customHeight="1">
      <c r="A626" s="96">
        <v>797</v>
      </c>
      <c r="B626" s="97" t="s">
        <v>99</v>
      </c>
      <c r="C626" s="96" t="s">
        <v>5759</v>
      </c>
      <c r="D626" s="96" t="s">
        <v>5759</v>
      </c>
      <c r="E626" s="96" t="s">
        <v>2602</v>
      </c>
      <c r="F626" s="96" t="s">
        <v>5760</v>
      </c>
      <c r="G626" s="99" t="s">
        <v>39</v>
      </c>
      <c r="H626" s="100" t="s">
        <v>114</v>
      </c>
      <c r="I626" s="100"/>
      <c r="J626" s="96" t="s">
        <v>5761</v>
      </c>
      <c r="K626" s="96" t="s">
        <v>5762</v>
      </c>
      <c r="L626" s="96" t="s">
        <v>5763</v>
      </c>
      <c r="M626" s="96" t="s">
        <v>4111</v>
      </c>
      <c r="N626" s="100" t="s">
        <v>119</v>
      </c>
      <c r="O626" s="96"/>
      <c r="P626" s="96" t="s">
        <v>7480</v>
      </c>
      <c r="Q626" s="101">
        <v>50.079806099999999</v>
      </c>
      <c r="R626" s="101">
        <v>14.4544367</v>
      </c>
      <c r="S626" s="100" t="s">
        <v>7447</v>
      </c>
      <c r="T626" s="103" t="s">
        <v>58</v>
      </c>
      <c r="U626" s="103" t="s">
        <v>58</v>
      </c>
      <c r="V626" s="103" t="s">
        <v>58</v>
      </c>
      <c r="W626" s="103" t="s">
        <v>59</v>
      </c>
    </row>
    <row r="627" spans="1:23" ht="15.75" customHeight="1">
      <c r="A627" s="96">
        <v>798</v>
      </c>
      <c r="B627" s="97" t="s">
        <v>99</v>
      </c>
      <c r="C627" s="98" t="s">
        <v>5765</v>
      </c>
      <c r="D627" s="98" t="s">
        <v>5765</v>
      </c>
      <c r="E627" s="96" t="s">
        <v>68</v>
      </c>
      <c r="F627" s="96" t="s">
        <v>5766</v>
      </c>
      <c r="G627" s="99" t="s">
        <v>39</v>
      </c>
      <c r="H627" s="100" t="s">
        <v>114</v>
      </c>
      <c r="I627" s="100"/>
      <c r="J627" s="96" t="s">
        <v>5767</v>
      </c>
      <c r="K627" s="96" t="s">
        <v>5768</v>
      </c>
      <c r="L627" s="96" t="s">
        <v>5769</v>
      </c>
      <c r="M627" s="96"/>
      <c r="N627" s="100" t="s">
        <v>119</v>
      </c>
      <c r="O627" s="96"/>
      <c r="P627" s="96" t="s">
        <v>7481</v>
      </c>
      <c r="Q627" s="101">
        <v>50.775733099999997</v>
      </c>
      <c r="R627" s="101">
        <v>15.0744481</v>
      </c>
      <c r="S627" s="100" t="s">
        <v>7447</v>
      </c>
      <c r="T627" s="103" t="s">
        <v>67</v>
      </c>
      <c r="U627" s="103" t="s">
        <v>68</v>
      </c>
      <c r="V627" s="103" t="s">
        <v>68</v>
      </c>
      <c r="W627" s="103" t="s">
        <v>68</v>
      </c>
    </row>
    <row r="628" spans="1:23" ht="15.75" customHeight="1">
      <c r="A628" s="96">
        <v>804</v>
      </c>
      <c r="B628" s="97" t="s">
        <v>99</v>
      </c>
      <c r="C628" s="98" t="s">
        <v>5794</v>
      </c>
      <c r="D628" s="98" t="s">
        <v>5794</v>
      </c>
      <c r="E628" s="96" t="s">
        <v>2602</v>
      </c>
      <c r="F628" s="96" t="s">
        <v>5795</v>
      </c>
      <c r="G628" s="99" t="s">
        <v>39</v>
      </c>
      <c r="H628" s="100" t="s">
        <v>114</v>
      </c>
      <c r="I628" s="100"/>
      <c r="J628" s="96" t="s">
        <v>5796</v>
      </c>
      <c r="K628" s="102" t="s">
        <v>5797</v>
      </c>
      <c r="L628" s="96" t="s">
        <v>5798</v>
      </c>
      <c r="M628" s="96" t="s">
        <v>4111</v>
      </c>
      <c r="N628" s="100" t="s">
        <v>119</v>
      </c>
      <c r="O628" s="96"/>
      <c r="P628" s="96" t="s">
        <v>5799</v>
      </c>
      <c r="Q628" s="101">
        <v>50.076073600000001</v>
      </c>
      <c r="R628" s="101">
        <v>14.434207199999999</v>
      </c>
      <c r="S628" s="100" t="s">
        <v>7447</v>
      </c>
      <c r="T628" s="103" t="s">
        <v>58</v>
      </c>
      <c r="U628" s="103" t="s">
        <v>58</v>
      </c>
      <c r="V628" s="103" t="s">
        <v>58</v>
      </c>
      <c r="W628" s="103" t="s">
        <v>59</v>
      </c>
    </row>
    <row r="629" spans="1:23" ht="15.75" customHeight="1">
      <c r="A629" s="96">
        <v>805</v>
      </c>
      <c r="B629" s="97" t="s">
        <v>99</v>
      </c>
      <c r="C629" s="98" t="s">
        <v>5800</v>
      </c>
      <c r="D629" s="98" t="s">
        <v>5800</v>
      </c>
      <c r="E629" s="96" t="s">
        <v>1018</v>
      </c>
      <c r="F629" s="96" t="s">
        <v>5801</v>
      </c>
      <c r="G629" s="99" t="s">
        <v>39</v>
      </c>
      <c r="H629" s="100" t="s">
        <v>114</v>
      </c>
      <c r="I629" s="100"/>
      <c r="J629" s="96" t="s">
        <v>5796</v>
      </c>
      <c r="K629" s="96" t="s">
        <v>5802</v>
      </c>
      <c r="L629" s="96" t="s">
        <v>5798</v>
      </c>
      <c r="M629" s="96" t="s">
        <v>4111</v>
      </c>
      <c r="N629" s="100" t="s">
        <v>119</v>
      </c>
      <c r="O629" s="96"/>
      <c r="P629" s="96" t="s">
        <v>7482</v>
      </c>
      <c r="Q629" s="101">
        <v>49.196797199999999</v>
      </c>
      <c r="R629" s="101">
        <v>16.6092589</v>
      </c>
      <c r="S629" s="100" t="s">
        <v>7447</v>
      </c>
      <c r="T629" s="103" t="s">
        <v>325</v>
      </c>
      <c r="U629" s="103" t="s">
        <v>1017</v>
      </c>
      <c r="V629" s="103" t="s">
        <v>1018</v>
      </c>
      <c r="W629" s="103" t="s">
        <v>1018</v>
      </c>
    </row>
    <row r="630" spans="1:23" ht="15.75" customHeight="1">
      <c r="A630" s="96">
        <v>806</v>
      </c>
      <c r="B630" s="97" t="s">
        <v>99</v>
      </c>
      <c r="C630" s="98" t="s">
        <v>5804</v>
      </c>
      <c r="D630" s="98" t="s">
        <v>5804</v>
      </c>
      <c r="E630" s="96" t="s">
        <v>1018</v>
      </c>
      <c r="F630" s="96" t="s">
        <v>5805</v>
      </c>
      <c r="G630" s="99" t="s">
        <v>39</v>
      </c>
      <c r="H630" s="100" t="s">
        <v>114</v>
      </c>
      <c r="I630" s="100"/>
      <c r="J630" s="96" t="s">
        <v>5796</v>
      </c>
      <c r="K630" s="96" t="s">
        <v>5806</v>
      </c>
      <c r="L630" s="96" t="s">
        <v>5798</v>
      </c>
      <c r="M630" s="96" t="s">
        <v>4111</v>
      </c>
      <c r="N630" s="100" t="s">
        <v>119</v>
      </c>
      <c r="O630" s="96"/>
      <c r="P630" s="96" t="s">
        <v>8010</v>
      </c>
      <c r="Q630" s="101">
        <v>49.192413600000002</v>
      </c>
      <c r="R630" s="101">
        <v>16.604843299999999</v>
      </c>
      <c r="S630" s="100" t="s">
        <v>7447</v>
      </c>
      <c r="T630" s="103" t="s">
        <v>325</v>
      </c>
      <c r="U630" s="103" t="s">
        <v>1017</v>
      </c>
      <c r="V630" s="103" t="s">
        <v>1018</v>
      </c>
      <c r="W630" s="103" t="s">
        <v>1018</v>
      </c>
    </row>
    <row r="631" spans="1:23" ht="15.75" customHeight="1">
      <c r="A631" s="96">
        <v>807</v>
      </c>
      <c r="B631" s="97" t="s">
        <v>99</v>
      </c>
      <c r="C631" s="96" t="s">
        <v>5808</v>
      </c>
      <c r="D631" s="96" t="s">
        <v>5808</v>
      </c>
      <c r="E631" s="96" t="s">
        <v>379</v>
      </c>
      <c r="F631" s="96" t="s">
        <v>5809</v>
      </c>
      <c r="G631" s="99" t="s">
        <v>39</v>
      </c>
      <c r="H631" s="100" t="s">
        <v>114</v>
      </c>
      <c r="I631" s="100"/>
      <c r="J631" s="96" t="s">
        <v>5810</v>
      </c>
      <c r="K631" s="96" t="s">
        <v>5811</v>
      </c>
      <c r="L631" s="96" t="s">
        <v>5812</v>
      </c>
      <c r="M631" s="96"/>
      <c r="N631" s="100" t="s">
        <v>6928</v>
      </c>
      <c r="O631" s="96"/>
      <c r="P631" s="96" t="s">
        <v>8011</v>
      </c>
      <c r="Q631" s="101">
        <v>49.364654399999999</v>
      </c>
      <c r="R631" s="101">
        <v>16.6471856</v>
      </c>
      <c r="S631" s="100" t="s">
        <v>7447</v>
      </c>
      <c r="T631" s="103" t="s">
        <v>325</v>
      </c>
      <c r="U631" s="103" t="s">
        <v>379</v>
      </c>
      <c r="V631" s="103" t="s">
        <v>379</v>
      </c>
      <c r="W631" s="103" t="s">
        <v>379</v>
      </c>
    </row>
    <row r="632" spans="1:23" ht="15.75" customHeight="1">
      <c r="A632" s="96">
        <v>808</v>
      </c>
      <c r="B632" s="97" t="s">
        <v>99</v>
      </c>
      <c r="C632" s="96" t="s">
        <v>5815</v>
      </c>
      <c r="D632" s="96" t="s">
        <v>5815</v>
      </c>
      <c r="E632" s="96" t="s">
        <v>1018</v>
      </c>
      <c r="F632" s="96" t="s">
        <v>5816</v>
      </c>
      <c r="G632" s="99" t="s">
        <v>39</v>
      </c>
      <c r="H632" s="100" t="s">
        <v>114</v>
      </c>
      <c r="I632" s="100"/>
      <c r="J632" s="96"/>
      <c r="K632" s="96" t="s">
        <v>5817</v>
      </c>
      <c r="L632" s="96" t="s">
        <v>5818</v>
      </c>
      <c r="M632" s="96" t="s">
        <v>4111</v>
      </c>
      <c r="N632" s="100" t="s">
        <v>119</v>
      </c>
      <c r="O632" s="96"/>
      <c r="P632" s="96" t="s">
        <v>8012</v>
      </c>
      <c r="Q632" s="101">
        <v>49.199336899999999</v>
      </c>
      <c r="R632" s="101">
        <v>16.5936372</v>
      </c>
      <c r="S632" s="100" t="s">
        <v>7447</v>
      </c>
      <c r="T632" s="103" t="s">
        <v>325</v>
      </c>
      <c r="U632" s="103" t="s">
        <v>1017</v>
      </c>
      <c r="V632" s="103" t="s">
        <v>1018</v>
      </c>
      <c r="W632" s="103" t="s">
        <v>1018</v>
      </c>
    </row>
    <row r="633" spans="1:23" ht="15.75" customHeight="1">
      <c r="A633" s="96">
        <v>809</v>
      </c>
      <c r="B633" s="97" t="s">
        <v>99</v>
      </c>
      <c r="C633" s="110" t="s">
        <v>5820</v>
      </c>
      <c r="D633" s="110" t="s">
        <v>5820</v>
      </c>
      <c r="E633" s="96" t="s">
        <v>1018</v>
      </c>
      <c r="F633" s="96" t="s">
        <v>5821</v>
      </c>
      <c r="G633" s="99" t="s">
        <v>39</v>
      </c>
      <c r="H633" s="100" t="s">
        <v>114</v>
      </c>
      <c r="I633" s="100"/>
      <c r="J633" s="102" t="s">
        <v>5822</v>
      </c>
      <c r="K633" s="96" t="s">
        <v>5823</v>
      </c>
      <c r="L633" s="96" t="s">
        <v>5824</v>
      </c>
      <c r="M633" s="96" t="s">
        <v>4111</v>
      </c>
      <c r="N633" s="103" t="s">
        <v>6929</v>
      </c>
      <c r="O633" s="96"/>
      <c r="P633" s="96" t="s">
        <v>7483</v>
      </c>
      <c r="Q633" s="101">
        <v>49.195936099999997</v>
      </c>
      <c r="R633" s="101">
        <v>16.610069200000002</v>
      </c>
      <c r="S633" s="100" t="s">
        <v>7447</v>
      </c>
      <c r="T633" s="103" t="s">
        <v>325</v>
      </c>
      <c r="U633" s="103" t="s">
        <v>1017</v>
      </c>
      <c r="V633" s="103" t="s">
        <v>1018</v>
      </c>
      <c r="W633" s="103" t="s">
        <v>1018</v>
      </c>
    </row>
    <row r="634" spans="1:23" ht="15.75" customHeight="1">
      <c r="A634" s="96">
        <v>810</v>
      </c>
      <c r="B634" s="97" t="s">
        <v>99</v>
      </c>
      <c r="C634" s="96" t="s">
        <v>5827</v>
      </c>
      <c r="D634" s="96" t="s">
        <v>5827</v>
      </c>
      <c r="E634" s="96" t="s">
        <v>2156</v>
      </c>
      <c r="F634" s="96" t="s">
        <v>5828</v>
      </c>
      <c r="G634" s="99" t="s">
        <v>39</v>
      </c>
      <c r="H634" s="100" t="s">
        <v>114</v>
      </c>
      <c r="I634" s="100"/>
      <c r="J634" s="102" t="s">
        <v>5829</v>
      </c>
      <c r="K634" s="96" t="s">
        <v>5830</v>
      </c>
      <c r="L634" s="96" t="s">
        <v>5831</v>
      </c>
      <c r="M634" s="96" t="s">
        <v>4111</v>
      </c>
      <c r="N634" s="100" t="s">
        <v>119</v>
      </c>
      <c r="O634" s="96"/>
      <c r="P634" s="96" t="s">
        <v>7484</v>
      </c>
      <c r="Q634" s="106">
        <v>49.229114199999998</v>
      </c>
      <c r="R634" s="106">
        <v>17.670155000000001</v>
      </c>
      <c r="S634" s="100" t="s">
        <v>7447</v>
      </c>
      <c r="T634" s="103" t="s">
        <v>97</v>
      </c>
      <c r="U634" s="103" t="s">
        <v>2156</v>
      </c>
      <c r="V634" s="103" t="s">
        <v>2156</v>
      </c>
      <c r="W634" s="103" t="s">
        <v>2156</v>
      </c>
    </row>
    <row r="635" spans="1:23" ht="15.75" customHeight="1">
      <c r="A635" s="96">
        <v>812</v>
      </c>
      <c r="B635" s="97" t="s">
        <v>99</v>
      </c>
      <c r="C635" s="96" t="s">
        <v>5838</v>
      </c>
      <c r="D635" s="96" t="s">
        <v>5838</v>
      </c>
      <c r="E635" s="96" t="s">
        <v>33</v>
      </c>
      <c r="F635" s="96" t="s">
        <v>5839</v>
      </c>
      <c r="G635" s="99" t="s">
        <v>39</v>
      </c>
      <c r="H635" s="100" t="s">
        <v>114</v>
      </c>
      <c r="I635" s="100"/>
      <c r="J635" s="96" t="s">
        <v>5840</v>
      </c>
      <c r="K635" s="96" t="s">
        <v>5841</v>
      </c>
      <c r="L635" s="96" t="s">
        <v>5842</v>
      </c>
      <c r="M635" s="96" t="s">
        <v>118</v>
      </c>
      <c r="N635" s="100" t="s">
        <v>119</v>
      </c>
      <c r="O635" s="96"/>
      <c r="P635" s="96" t="s">
        <v>7485</v>
      </c>
      <c r="Q635" s="101">
        <v>50.0643411</v>
      </c>
      <c r="R635" s="101">
        <v>14.442041700000001</v>
      </c>
      <c r="S635" s="100" t="s">
        <v>7447</v>
      </c>
      <c r="T635" s="103" t="s">
        <v>58</v>
      </c>
      <c r="U635" s="103" t="s">
        <v>58</v>
      </c>
      <c r="V635" s="103" t="s">
        <v>58</v>
      </c>
      <c r="W635" s="103" t="s">
        <v>59</v>
      </c>
    </row>
    <row r="636" spans="1:23" ht="15.75" customHeight="1">
      <c r="A636" s="96">
        <v>813</v>
      </c>
      <c r="B636" s="97" t="s">
        <v>99</v>
      </c>
      <c r="C636" s="96" t="s">
        <v>5844</v>
      </c>
      <c r="D636" s="96" t="s">
        <v>5844</v>
      </c>
      <c r="E636" s="96" t="s">
        <v>5315</v>
      </c>
      <c r="F636" s="96" t="s">
        <v>5845</v>
      </c>
      <c r="G636" s="99" t="s">
        <v>39</v>
      </c>
      <c r="H636" s="100" t="s">
        <v>114</v>
      </c>
      <c r="I636" s="100"/>
      <c r="J636" s="96"/>
      <c r="K636" s="96" t="s">
        <v>5846</v>
      </c>
      <c r="L636" s="96" t="s">
        <v>5847</v>
      </c>
      <c r="M636" s="96"/>
      <c r="N636" s="100" t="s">
        <v>119</v>
      </c>
      <c r="O636" s="96"/>
      <c r="P636" s="96" t="s">
        <v>7486</v>
      </c>
      <c r="Q636" s="101">
        <v>49.220174999999998</v>
      </c>
      <c r="R636" s="101">
        <v>16.593435800000002</v>
      </c>
      <c r="S636" s="100" t="s">
        <v>7447</v>
      </c>
      <c r="T636" s="103" t="s">
        <v>325</v>
      </c>
      <c r="U636" s="103" t="s">
        <v>1017</v>
      </c>
      <c r="V636" s="103" t="s">
        <v>1018</v>
      </c>
      <c r="W636" s="103" t="s">
        <v>1018</v>
      </c>
    </row>
    <row r="637" spans="1:23" ht="15.75" customHeight="1">
      <c r="A637" s="96">
        <v>814</v>
      </c>
      <c r="B637" s="97" t="s">
        <v>99</v>
      </c>
      <c r="C637" s="98" t="s">
        <v>5849</v>
      </c>
      <c r="D637" s="98" t="s">
        <v>5849</v>
      </c>
      <c r="E637" s="96" t="s">
        <v>4382</v>
      </c>
      <c r="F637" s="96" t="s">
        <v>5850</v>
      </c>
      <c r="G637" s="99" t="s">
        <v>39</v>
      </c>
      <c r="H637" s="100" t="s">
        <v>114</v>
      </c>
      <c r="I637" s="100"/>
      <c r="J637" s="96" t="s">
        <v>5851</v>
      </c>
      <c r="K637" s="96" t="s">
        <v>5852</v>
      </c>
      <c r="L637" s="96" t="s">
        <v>5853</v>
      </c>
      <c r="M637" s="96" t="s">
        <v>5854</v>
      </c>
      <c r="N637" s="100" t="s">
        <v>119</v>
      </c>
      <c r="O637" s="96"/>
      <c r="P637" s="96" t="s">
        <v>5855</v>
      </c>
      <c r="Q637" s="101">
        <v>50.0639003</v>
      </c>
      <c r="R637" s="98">
        <v>14.453151099999999</v>
      </c>
      <c r="S637" s="100" t="s">
        <v>7447</v>
      </c>
      <c r="T637" s="103" t="s">
        <v>58</v>
      </c>
      <c r="U637" s="103" t="s">
        <v>58</v>
      </c>
      <c r="V637" s="103" t="s">
        <v>58</v>
      </c>
      <c r="W637" s="103" t="s">
        <v>59</v>
      </c>
    </row>
    <row r="638" spans="1:23" ht="15.75" customHeight="1">
      <c r="A638" s="96">
        <v>815</v>
      </c>
      <c r="B638" s="97" t="s">
        <v>99</v>
      </c>
      <c r="C638" s="96" t="s">
        <v>5856</v>
      </c>
      <c r="D638" s="96" t="s">
        <v>5856</v>
      </c>
      <c r="E638" s="96" t="s">
        <v>419</v>
      </c>
      <c r="F638" s="96" t="s">
        <v>5857</v>
      </c>
      <c r="G638" s="99" t="s">
        <v>39</v>
      </c>
      <c r="H638" s="100" t="s">
        <v>114</v>
      </c>
      <c r="I638" s="100"/>
      <c r="J638" s="96"/>
      <c r="K638" s="96" t="s">
        <v>5858</v>
      </c>
      <c r="L638" s="96" t="s">
        <v>5859</v>
      </c>
      <c r="M638" s="96" t="s">
        <v>4111</v>
      </c>
      <c r="N638" s="100" t="s">
        <v>119</v>
      </c>
      <c r="O638" s="96"/>
      <c r="P638" s="96" t="s">
        <v>5860</v>
      </c>
      <c r="Q638" s="96">
        <v>50.073710300000002</v>
      </c>
      <c r="R638" s="96">
        <v>14.414115300000001</v>
      </c>
      <c r="S638" s="100" t="s">
        <v>7447</v>
      </c>
      <c r="T638" s="103" t="s">
        <v>58</v>
      </c>
      <c r="U638" s="103" t="s">
        <v>58</v>
      </c>
      <c r="V638" s="103" t="s">
        <v>58</v>
      </c>
      <c r="W638" s="103" t="s">
        <v>59</v>
      </c>
    </row>
    <row r="639" spans="1:23" ht="15.75" customHeight="1">
      <c r="A639" s="96">
        <v>818</v>
      </c>
      <c r="B639" s="97" t="s">
        <v>99</v>
      </c>
      <c r="C639" s="96" t="s">
        <v>5868</v>
      </c>
      <c r="D639" s="96" t="s">
        <v>5868</v>
      </c>
      <c r="E639" s="96" t="s">
        <v>1034</v>
      </c>
      <c r="F639" s="96" t="s">
        <v>5869</v>
      </c>
      <c r="G639" s="99" t="s">
        <v>39</v>
      </c>
      <c r="H639" s="100" t="s">
        <v>114</v>
      </c>
      <c r="I639" s="100"/>
      <c r="J639" s="113" t="s">
        <v>5870</v>
      </c>
      <c r="K639" s="96" t="s">
        <v>5871</v>
      </c>
      <c r="L639" s="96" t="s">
        <v>5872</v>
      </c>
      <c r="M639" s="96" t="s">
        <v>4111</v>
      </c>
      <c r="N639" s="100" t="s">
        <v>119</v>
      </c>
      <c r="O639" s="96"/>
      <c r="P639" s="96" t="s">
        <v>5873</v>
      </c>
      <c r="Q639" s="96">
        <v>49.595298300000003</v>
      </c>
      <c r="R639" s="96">
        <v>17.254451100000001</v>
      </c>
      <c r="S639" s="100" t="s">
        <v>7447</v>
      </c>
      <c r="T639" s="103" t="s">
        <v>312</v>
      </c>
      <c r="U639" s="103" t="s">
        <v>1034</v>
      </c>
      <c r="V639" s="103" t="s">
        <v>1034</v>
      </c>
      <c r="W639" s="103" t="s">
        <v>1034</v>
      </c>
    </row>
    <row r="640" spans="1:23" ht="15.75" customHeight="1">
      <c r="A640" s="96">
        <v>824</v>
      </c>
      <c r="B640" s="97" t="s">
        <v>99</v>
      </c>
      <c r="C640" s="96" t="s">
        <v>5897</v>
      </c>
      <c r="D640" s="96" t="s">
        <v>5897</v>
      </c>
      <c r="E640" s="96" t="s">
        <v>2281</v>
      </c>
      <c r="F640" s="96" t="s">
        <v>5898</v>
      </c>
      <c r="G640" s="99" t="s">
        <v>39</v>
      </c>
      <c r="H640" s="100" t="s">
        <v>114</v>
      </c>
      <c r="I640" s="100"/>
      <c r="J640" s="96"/>
      <c r="K640" s="96" t="s">
        <v>5899</v>
      </c>
      <c r="L640" s="96" t="s">
        <v>5900</v>
      </c>
      <c r="M640" s="96"/>
      <c r="N640" s="100" t="s">
        <v>119</v>
      </c>
      <c r="O640" s="107" t="s">
        <v>6930</v>
      </c>
      <c r="P640" s="96" t="s">
        <v>5901</v>
      </c>
      <c r="Q640" s="96">
        <v>49.594014399999999</v>
      </c>
      <c r="R640" s="96">
        <v>17.273434699999999</v>
      </c>
      <c r="S640" s="100" t="s">
        <v>52</v>
      </c>
      <c r="T640" s="103" t="s">
        <v>312</v>
      </c>
      <c r="U640" s="103" t="s">
        <v>1034</v>
      </c>
      <c r="V640" s="103" t="s">
        <v>1034</v>
      </c>
      <c r="W640" s="103" t="s">
        <v>1034</v>
      </c>
    </row>
    <row r="641" spans="1:23" ht="15.75" customHeight="1">
      <c r="A641" s="96">
        <v>827</v>
      </c>
      <c r="B641" s="97" t="s">
        <v>99</v>
      </c>
      <c r="C641" s="96" t="s">
        <v>5909</v>
      </c>
      <c r="D641" s="96" t="s">
        <v>5909</v>
      </c>
      <c r="E641" s="96" t="s">
        <v>953</v>
      </c>
      <c r="F641" s="96" t="s">
        <v>5910</v>
      </c>
      <c r="G641" s="99" t="s">
        <v>39</v>
      </c>
      <c r="H641" s="100" t="s">
        <v>114</v>
      </c>
      <c r="I641" s="100"/>
      <c r="J641" s="96" t="s">
        <v>5911</v>
      </c>
      <c r="K641" s="96" t="s">
        <v>5912</v>
      </c>
      <c r="L641" s="96" t="s">
        <v>5913</v>
      </c>
      <c r="M641" s="96"/>
      <c r="N641" s="100" t="s">
        <v>119</v>
      </c>
      <c r="O641" s="96"/>
      <c r="P641" s="96" t="s">
        <v>5914</v>
      </c>
      <c r="Q641" s="96">
        <v>49.345256399999997</v>
      </c>
      <c r="R641" s="96">
        <v>16.424949999999999</v>
      </c>
      <c r="S641" s="100" t="s">
        <v>7447</v>
      </c>
      <c r="T641" s="103" t="s">
        <v>325</v>
      </c>
      <c r="U641" s="103" t="s">
        <v>952</v>
      </c>
      <c r="V641" s="103" t="s">
        <v>953</v>
      </c>
      <c r="W641" s="103" t="s">
        <v>953</v>
      </c>
    </row>
    <row r="642" spans="1:23" ht="15.75" customHeight="1">
      <c r="A642" s="96">
        <v>831</v>
      </c>
      <c r="B642" s="97" t="s">
        <v>99</v>
      </c>
      <c r="C642" s="96" t="s">
        <v>5929</v>
      </c>
      <c r="D642" s="96" t="s">
        <v>5929</v>
      </c>
      <c r="E642" s="96" t="s">
        <v>5930</v>
      </c>
      <c r="F642" s="96" t="s">
        <v>5931</v>
      </c>
      <c r="G642" s="99" t="s">
        <v>39</v>
      </c>
      <c r="H642" s="100" t="s">
        <v>114</v>
      </c>
      <c r="I642" s="100"/>
      <c r="J642" s="98" t="s">
        <v>5932</v>
      </c>
      <c r="K642" s="98" t="s">
        <v>5933</v>
      </c>
      <c r="L642" s="96" t="s">
        <v>5934</v>
      </c>
      <c r="M642" s="96"/>
      <c r="N642" s="100" t="s">
        <v>119</v>
      </c>
      <c r="O642" s="96"/>
      <c r="P642" s="96" t="s">
        <v>5935</v>
      </c>
      <c r="Q642" s="96">
        <v>48.840470000000003</v>
      </c>
      <c r="R642" s="96">
        <v>16.157398100000002</v>
      </c>
      <c r="S642" s="100" t="s">
        <v>7447</v>
      </c>
      <c r="T642" s="103" t="s">
        <v>325</v>
      </c>
      <c r="U642" s="103" t="s">
        <v>555</v>
      </c>
      <c r="V642" s="103" t="s">
        <v>555</v>
      </c>
      <c r="W642" s="103" t="s">
        <v>5930</v>
      </c>
    </row>
    <row r="643" spans="1:23" ht="15.75" customHeight="1">
      <c r="A643" s="96">
        <v>833</v>
      </c>
      <c r="B643" s="97" t="s">
        <v>99</v>
      </c>
      <c r="C643" s="96" t="s">
        <v>5939</v>
      </c>
      <c r="D643" s="100" t="s">
        <v>6931</v>
      </c>
      <c r="E643" s="96" t="s">
        <v>410</v>
      </c>
      <c r="F643" s="96" t="s">
        <v>5940</v>
      </c>
      <c r="G643" s="99" t="s">
        <v>39</v>
      </c>
      <c r="H643" s="100" t="s">
        <v>114</v>
      </c>
      <c r="I643" s="100"/>
      <c r="J643" s="96" t="s">
        <v>5941</v>
      </c>
      <c r="K643" s="96" t="s">
        <v>5942</v>
      </c>
      <c r="L643" s="96" t="s">
        <v>5943</v>
      </c>
      <c r="M643" s="96"/>
      <c r="N643" s="100" t="s">
        <v>119</v>
      </c>
      <c r="O643" s="96"/>
      <c r="P643" s="96" t="s">
        <v>5944</v>
      </c>
      <c r="Q643" s="96">
        <v>48.804479200000003</v>
      </c>
      <c r="R643" s="96">
        <v>14.3116764</v>
      </c>
      <c r="S643" s="100" t="s">
        <v>7447</v>
      </c>
      <c r="T643" s="103" t="s">
        <v>369</v>
      </c>
      <c r="U643" s="103" t="s">
        <v>410</v>
      </c>
      <c r="V643" s="103" t="s">
        <v>410</v>
      </c>
      <c r="W643" s="103" t="s">
        <v>410</v>
      </c>
    </row>
    <row r="644" spans="1:23" ht="15.75" customHeight="1">
      <c r="A644" s="96">
        <v>835</v>
      </c>
      <c r="B644" s="97" t="s">
        <v>99</v>
      </c>
      <c r="C644" s="96" t="s">
        <v>5949</v>
      </c>
      <c r="D644" s="96" t="s">
        <v>5949</v>
      </c>
      <c r="E644" s="96" t="s">
        <v>3075</v>
      </c>
      <c r="F644" s="96" t="s">
        <v>5950</v>
      </c>
      <c r="G644" s="99" t="s">
        <v>39</v>
      </c>
      <c r="H644" s="100" t="s">
        <v>114</v>
      </c>
      <c r="I644" s="100"/>
      <c r="J644" s="96" t="s">
        <v>5951</v>
      </c>
      <c r="K644" s="96" t="s">
        <v>5952</v>
      </c>
      <c r="L644" s="96" t="s">
        <v>5953</v>
      </c>
      <c r="M644" s="96" t="s">
        <v>4111</v>
      </c>
      <c r="N644" s="100" t="s">
        <v>6932</v>
      </c>
      <c r="O644" s="96"/>
      <c r="P644" s="96" t="s">
        <v>5955</v>
      </c>
      <c r="Q644" s="96">
        <v>50.014363299999999</v>
      </c>
      <c r="R644" s="96">
        <v>14.4945339</v>
      </c>
      <c r="S644" s="100" t="s">
        <v>7447</v>
      </c>
      <c r="T644" s="103" t="s">
        <v>58</v>
      </c>
      <c r="U644" s="103" t="s">
        <v>58</v>
      </c>
      <c r="V644" s="103" t="s">
        <v>58</v>
      </c>
      <c r="W644" s="103" t="s">
        <v>59</v>
      </c>
    </row>
    <row r="645" spans="1:23" ht="15.75" customHeight="1">
      <c r="A645" s="96">
        <v>838</v>
      </c>
      <c r="B645" s="97" t="s">
        <v>99</v>
      </c>
      <c r="C645" s="96" t="s">
        <v>5964</v>
      </c>
      <c r="D645" s="96" t="s">
        <v>5964</v>
      </c>
      <c r="E645" s="96" t="s">
        <v>2602</v>
      </c>
      <c r="F645" s="96" t="s">
        <v>5965</v>
      </c>
      <c r="G645" s="99" t="s">
        <v>39</v>
      </c>
      <c r="H645" s="100" t="s">
        <v>114</v>
      </c>
      <c r="I645" s="100"/>
      <c r="J645" s="96" t="s">
        <v>5966</v>
      </c>
      <c r="K645" s="96" t="s">
        <v>5967</v>
      </c>
      <c r="L645" s="96" t="s">
        <v>5968</v>
      </c>
      <c r="M645" s="96"/>
      <c r="N645" s="100" t="s">
        <v>119</v>
      </c>
      <c r="O645" s="96"/>
      <c r="P645" s="96" t="s">
        <v>5969</v>
      </c>
      <c r="Q645" s="96">
        <v>50.068330000000003</v>
      </c>
      <c r="R645" s="96">
        <v>14.4332142</v>
      </c>
      <c r="S645" s="100" t="s">
        <v>7447</v>
      </c>
      <c r="T645" s="103" t="s">
        <v>58</v>
      </c>
      <c r="U645" s="103" t="s">
        <v>58</v>
      </c>
      <c r="V645" s="103" t="s">
        <v>58</v>
      </c>
      <c r="W645" s="103" t="s">
        <v>59</v>
      </c>
    </row>
    <row r="646" spans="1:23" ht="15.75" customHeight="1">
      <c r="A646" s="96">
        <v>846</v>
      </c>
      <c r="B646" s="97" t="s">
        <v>99</v>
      </c>
      <c r="C646" s="96" t="s">
        <v>6013</v>
      </c>
      <c r="D646" s="96" t="s">
        <v>6013</v>
      </c>
      <c r="E646" s="96" t="s">
        <v>1034</v>
      </c>
      <c r="F646" s="96" t="s">
        <v>6014</v>
      </c>
      <c r="G646" s="99" t="s">
        <v>39</v>
      </c>
      <c r="H646" s="100" t="s">
        <v>114</v>
      </c>
      <c r="I646" s="100"/>
      <c r="J646" s="96" t="s">
        <v>6016</v>
      </c>
      <c r="K646" s="96" t="s">
        <v>6017</v>
      </c>
      <c r="L646" s="96" t="s">
        <v>6018</v>
      </c>
      <c r="M646" s="96"/>
      <c r="N646" s="100" t="s">
        <v>119</v>
      </c>
      <c r="O646" s="96"/>
      <c r="P646" s="96" t="s">
        <v>6019</v>
      </c>
      <c r="Q646" s="96">
        <v>49.593668600000001</v>
      </c>
      <c r="R646" s="96">
        <v>17.2521767</v>
      </c>
      <c r="S646" s="100" t="s">
        <v>7447</v>
      </c>
      <c r="T646" s="103" t="s">
        <v>312</v>
      </c>
      <c r="U646" s="103" t="s">
        <v>1034</v>
      </c>
      <c r="V646" s="103" t="s">
        <v>1034</v>
      </c>
      <c r="W646" s="103" t="s">
        <v>1034</v>
      </c>
    </row>
    <row r="647" spans="1:23" ht="15.75" customHeight="1">
      <c r="A647" s="96">
        <v>847</v>
      </c>
      <c r="B647" s="97" t="s">
        <v>99</v>
      </c>
      <c r="C647" s="96" t="s">
        <v>6020</v>
      </c>
      <c r="D647" s="96" t="s">
        <v>6020</v>
      </c>
      <c r="E647" s="96" t="s">
        <v>1034</v>
      </c>
      <c r="F647" s="96" t="s">
        <v>6021</v>
      </c>
      <c r="G647" s="99" t="s">
        <v>39</v>
      </c>
      <c r="H647" s="100" t="s">
        <v>114</v>
      </c>
      <c r="I647" s="100"/>
      <c r="J647" s="96" t="s">
        <v>6022</v>
      </c>
      <c r="K647" s="102" t="s">
        <v>6023</v>
      </c>
      <c r="L647" s="96" t="s">
        <v>6024</v>
      </c>
      <c r="M647" s="96"/>
      <c r="N647" s="100" t="s">
        <v>119</v>
      </c>
      <c r="O647" s="96"/>
      <c r="P647" s="98" t="s">
        <v>6025</v>
      </c>
      <c r="Q647" s="98">
        <v>49.591068100000001</v>
      </c>
      <c r="R647" s="98">
        <v>17.248632199999999</v>
      </c>
      <c r="S647" s="100" t="s">
        <v>7447</v>
      </c>
      <c r="T647" s="103" t="s">
        <v>312</v>
      </c>
      <c r="U647" s="103" t="s">
        <v>1034</v>
      </c>
      <c r="V647" s="103" t="s">
        <v>1034</v>
      </c>
      <c r="W647" s="103" t="s">
        <v>1034</v>
      </c>
    </row>
    <row r="648" spans="1:23" ht="15.75" customHeight="1">
      <c r="A648" s="96">
        <v>848</v>
      </c>
      <c r="B648" s="97" t="s">
        <v>99</v>
      </c>
      <c r="C648" s="96" t="s">
        <v>6026</v>
      </c>
      <c r="D648" s="96" t="s">
        <v>6026</v>
      </c>
      <c r="E648" s="100" t="s">
        <v>6933</v>
      </c>
      <c r="F648" s="96" t="s">
        <v>6028</v>
      </c>
      <c r="G648" s="99" t="s">
        <v>39</v>
      </c>
      <c r="H648" s="100" t="s">
        <v>6913</v>
      </c>
      <c r="I648" s="100"/>
      <c r="J648" s="96" t="s">
        <v>6029</v>
      </c>
      <c r="K648" s="96" t="s">
        <v>6030</v>
      </c>
      <c r="L648" s="96" t="s">
        <v>6031</v>
      </c>
      <c r="M648" s="96" t="s">
        <v>6032</v>
      </c>
      <c r="N648" s="100" t="s">
        <v>119</v>
      </c>
      <c r="O648" s="107" t="s">
        <v>6934</v>
      </c>
      <c r="P648" s="96" t="s">
        <v>6033</v>
      </c>
      <c r="Q648" s="96">
        <v>49.550199999999997</v>
      </c>
      <c r="R648" s="96">
        <v>17.736099400000001</v>
      </c>
      <c r="S648" s="100" t="s">
        <v>52</v>
      </c>
      <c r="T648" s="103" t="s">
        <v>312</v>
      </c>
      <c r="U648" s="103" t="s">
        <v>1153</v>
      </c>
      <c r="V648" s="103" t="s">
        <v>6933</v>
      </c>
      <c r="W648" s="103" t="s">
        <v>6933</v>
      </c>
    </row>
    <row r="649" spans="1:23" ht="15.75" customHeight="1">
      <c r="A649" s="96">
        <v>850</v>
      </c>
      <c r="B649" s="97" t="s">
        <v>99</v>
      </c>
      <c r="C649" s="96" t="s">
        <v>6038</v>
      </c>
      <c r="D649" s="96" t="s">
        <v>6038</v>
      </c>
      <c r="E649" s="96" t="s">
        <v>4158</v>
      </c>
      <c r="F649" s="96" t="s">
        <v>6039</v>
      </c>
      <c r="G649" s="99" t="s">
        <v>39</v>
      </c>
      <c r="H649" s="100" t="s">
        <v>114</v>
      </c>
      <c r="I649" s="100"/>
      <c r="J649" s="96"/>
      <c r="K649" s="96" t="s">
        <v>6040</v>
      </c>
      <c r="L649" s="96" t="s">
        <v>6041</v>
      </c>
      <c r="M649" s="96"/>
      <c r="N649" s="100" t="s">
        <v>119</v>
      </c>
      <c r="O649" s="96"/>
      <c r="P649" s="96" t="s">
        <v>6042</v>
      </c>
      <c r="Q649" s="96">
        <v>50.094698100000002</v>
      </c>
      <c r="R649" s="96">
        <v>14.4552403</v>
      </c>
      <c r="S649" s="100" t="s">
        <v>7447</v>
      </c>
      <c r="T649" s="103" t="s">
        <v>58</v>
      </c>
      <c r="U649" s="103" t="s">
        <v>58</v>
      </c>
      <c r="V649" s="103" t="s">
        <v>58</v>
      </c>
      <c r="W649" s="103" t="s">
        <v>59</v>
      </c>
    </row>
    <row r="650" spans="1:23" ht="15.75" customHeight="1">
      <c r="A650" s="96">
        <v>852</v>
      </c>
      <c r="B650" s="97" t="s">
        <v>99</v>
      </c>
      <c r="C650" s="96" t="s">
        <v>6048</v>
      </c>
      <c r="D650" s="96" t="s">
        <v>6048</v>
      </c>
      <c r="E650" s="96" t="s">
        <v>4382</v>
      </c>
      <c r="F650" s="96" t="s">
        <v>6049</v>
      </c>
      <c r="G650" s="99" t="s">
        <v>39</v>
      </c>
      <c r="H650" s="100" t="s">
        <v>114</v>
      </c>
      <c r="I650" s="100"/>
      <c r="J650" s="96" t="s">
        <v>6050</v>
      </c>
      <c r="K650" s="96" t="s">
        <v>6051</v>
      </c>
      <c r="L650" s="96" t="s">
        <v>6052</v>
      </c>
      <c r="M650" s="96" t="s">
        <v>4996</v>
      </c>
      <c r="N650" s="100" t="s">
        <v>119</v>
      </c>
      <c r="O650" s="96"/>
      <c r="P650" s="96" t="s">
        <v>6053</v>
      </c>
      <c r="Q650" s="96">
        <v>50.070598599999997</v>
      </c>
      <c r="R650" s="96">
        <v>14.450867199999999</v>
      </c>
      <c r="S650" s="100" t="s">
        <v>7447</v>
      </c>
      <c r="T650" s="103" t="s">
        <v>58</v>
      </c>
      <c r="U650" s="103" t="s">
        <v>58</v>
      </c>
      <c r="V650" s="103" t="s">
        <v>58</v>
      </c>
      <c r="W650" s="103" t="s">
        <v>59</v>
      </c>
    </row>
    <row r="651" spans="1:23" ht="15.75" customHeight="1">
      <c r="A651" s="96">
        <v>853</v>
      </c>
      <c r="B651" s="97" t="s">
        <v>99</v>
      </c>
      <c r="C651" s="96" t="s">
        <v>6054</v>
      </c>
      <c r="D651" s="96" t="s">
        <v>6054</v>
      </c>
      <c r="E651" s="96" t="s">
        <v>6055</v>
      </c>
      <c r="F651" s="96" t="s">
        <v>6056</v>
      </c>
      <c r="G651" s="99" t="s">
        <v>39</v>
      </c>
      <c r="H651" s="100" t="s">
        <v>114</v>
      </c>
      <c r="I651" s="100"/>
      <c r="J651" s="96"/>
      <c r="K651" s="96" t="s">
        <v>6057</v>
      </c>
      <c r="L651" s="96" t="s">
        <v>6058</v>
      </c>
      <c r="M651" s="96" t="s">
        <v>6059</v>
      </c>
      <c r="N651" s="100" t="s">
        <v>6935</v>
      </c>
      <c r="O651" s="96"/>
      <c r="P651" s="96" t="s">
        <v>6061</v>
      </c>
      <c r="Q651" s="96">
        <v>50.101226699999998</v>
      </c>
      <c r="R651" s="96">
        <v>14.4044911</v>
      </c>
      <c r="S651" s="100" t="s">
        <v>7447</v>
      </c>
      <c r="T651" s="103" t="s">
        <v>58</v>
      </c>
      <c r="U651" s="103" t="s">
        <v>58</v>
      </c>
      <c r="V651" s="103" t="s">
        <v>58</v>
      </c>
      <c r="W651" s="103" t="s">
        <v>59</v>
      </c>
    </row>
    <row r="652" spans="1:23" ht="15.75" customHeight="1">
      <c r="A652" s="96">
        <v>862</v>
      </c>
      <c r="B652" s="97" t="s">
        <v>99</v>
      </c>
      <c r="C652" s="96" t="s">
        <v>6108</v>
      </c>
      <c r="D652" s="96" t="s">
        <v>6108</v>
      </c>
      <c r="E652" s="96" t="s">
        <v>4215</v>
      </c>
      <c r="F652" s="96" t="s">
        <v>6109</v>
      </c>
      <c r="G652" s="99" t="s">
        <v>39</v>
      </c>
      <c r="H652" s="100" t="s">
        <v>103</v>
      </c>
      <c r="I652" s="100"/>
      <c r="J652" s="96" t="s">
        <v>6110</v>
      </c>
      <c r="K652" s="96"/>
      <c r="L652" s="96" t="s">
        <v>3856</v>
      </c>
      <c r="M652" s="96"/>
      <c r="N652" s="96" t="s">
        <v>3852</v>
      </c>
      <c r="O652" s="96"/>
      <c r="P652" s="96" t="s">
        <v>6111</v>
      </c>
      <c r="Q652" s="96">
        <v>50.214099699999998</v>
      </c>
      <c r="R652" s="96">
        <v>16.551766099999998</v>
      </c>
      <c r="S652" s="100" t="s">
        <v>7447</v>
      </c>
      <c r="T652" s="103" t="s">
        <v>207</v>
      </c>
      <c r="U652" s="103" t="s">
        <v>1450</v>
      </c>
      <c r="V652" s="103" t="s">
        <v>1450</v>
      </c>
      <c r="W652" s="103" t="s">
        <v>4215</v>
      </c>
    </row>
    <row r="653" spans="1:23" ht="15.75" customHeight="1">
      <c r="A653" s="96">
        <v>867</v>
      </c>
      <c r="B653" s="97" t="s">
        <v>99</v>
      </c>
      <c r="C653" s="96" t="s">
        <v>6135</v>
      </c>
      <c r="D653" s="96" t="s">
        <v>6135</v>
      </c>
      <c r="E653" s="96" t="s">
        <v>6136</v>
      </c>
      <c r="F653" s="96" t="s">
        <v>6137</v>
      </c>
      <c r="G653" s="99" t="s">
        <v>39</v>
      </c>
      <c r="H653" s="100" t="s">
        <v>114</v>
      </c>
      <c r="I653" s="100"/>
      <c r="J653" s="96"/>
      <c r="K653" s="96" t="s">
        <v>6138</v>
      </c>
      <c r="L653" s="96" t="s">
        <v>6139</v>
      </c>
      <c r="M653" s="96"/>
      <c r="N653" s="100" t="s">
        <v>119</v>
      </c>
      <c r="O653" s="96"/>
      <c r="P653" s="96" t="s">
        <v>6140</v>
      </c>
      <c r="Q653" s="96">
        <v>50.062438299999997</v>
      </c>
      <c r="R653" s="96">
        <v>15.7582231</v>
      </c>
      <c r="S653" s="100" t="s">
        <v>52</v>
      </c>
      <c r="T653" s="103" t="s">
        <v>483</v>
      </c>
      <c r="U653" s="103" t="s">
        <v>1198</v>
      </c>
      <c r="V653" s="103" t="s">
        <v>1198</v>
      </c>
      <c r="W653" s="103" t="s">
        <v>1198</v>
      </c>
    </row>
    <row r="654" spans="1:23" ht="15.75" customHeight="1">
      <c r="A654" s="96">
        <v>869</v>
      </c>
      <c r="B654" s="97" t="s">
        <v>99</v>
      </c>
      <c r="C654" s="96" t="s">
        <v>3865</v>
      </c>
      <c r="D654" s="96" t="s">
        <v>3865</v>
      </c>
      <c r="E654" s="96" t="s">
        <v>4382</v>
      </c>
      <c r="F654" s="96" t="s">
        <v>6145</v>
      </c>
      <c r="G654" s="99" t="s">
        <v>39</v>
      </c>
      <c r="H654" s="100" t="s">
        <v>103</v>
      </c>
      <c r="I654" s="100"/>
      <c r="J654" s="96"/>
      <c r="K654" s="96" t="s">
        <v>6146</v>
      </c>
      <c r="L654" s="96" t="s">
        <v>3868</v>
      </c>
      <c r="M654" s="96"/>
      <c r="N654" s="96" t="s">
        <v>3865</v>
      </c>
      <c r="O654" s="96"/>
      <c r="P654" s="96" t="s">
        <v>6147</v>
      </c>
      <c r="Q654" s="96">
        <v>50.071878300000002</v>
      </c>
      <c r="R654" s="96">
        <v>14.4502322</v>
      </c>
      <c r="S654" s="100" t="s">
        <v>7447</v>
      </c>
      <c r="T654" s="103" t="s">
        <v>58</v>
      </c>
      <c r="U654" s="103" t="s">
        <v>58</v>
      </c>
      <c r="V654" s="103" t="s">
        <v>58</v>
      </c>
      <c r="W654" s="103" t="s">
        <v>59</v>
      </c>
    </row>
    <row r="655" spans="1:23" ht="15.75" customHeight="1">
      <c r="A655" s="96">
        <v>890</v>
      </c>
      <c r="B655" s="97" t="s">
        <v>99</v>
      </c>
      <c r="C655" s="96" t="s">
        <v>6249</v>
      </c>
      <c r="D655" s="96" t="s">
        <v>6249</v>
      </c>
      <c r="E655" s="96" t="s">
        <v>810</v>
      </c>
      <c r="F655" s="98" t="s">
        <v>6250</v>
      </c>
      <c r="G655" s="99" t="s">
        <v>39</v>
      </c>
      <c r="H655" s="100" t="s">
        <v>114</v>
      </c>
      <c r="I655" s="100"/>
      <c r="J655" s="96"/>
      <c r="K655" s="96" t="s">
        <v>6251</v>
      </c>
      <c r="L655" s="96" t="s">
        <v>6252</v>
      </c>
      <c r="M655" s="96"/>
      <c r="N655" s="100" t="s">
        <v>119</v>
      </c>
      <c r="O655" s="96"/>
      <c r="P655" s="96" t="s">
        <v>6253</v>
      </c>
      <c r="Q655" s="96">
        <v>50.415618899999998</v>
      </c>
      <c r="R655" s="96">
        <v>14.908025800000001</v>
      </c>
      <c r="S655" s="100" t="s">
        <v>7447</v>
      </c>
      <c r="T655" s="103" t="s">
        <v>71</v>
      </c>
      <c r="U655" s="103" t="s">
        <v>810</v>
      </c>
      <c r="V655" s="103" t="s">
        <v>810</v>
      </c>
      <c r="W655" s="103" t="s">
        <v>810</v>
      </c>
    </row>
    <row r="656" spans="1:23" ht="15.75" customHeight="1">
      <c r="A656" s="96">
        <v>892</v>
      </c>
      <c r="B656" s="97" t="s">
        <v>99</v>
      </c>
      <c r="C656" s="98" t="s">
        <v>6260</v>
      </c>
      <c r="D656" s="98" t="s">
        <v>6260</v>
      </c>
      <c r="E656" s="96" t="s">
        <v>3880</v>
      </c>
      <c r="F656" s="96" t="s">
        <v>3881</v>
      </c>
      <c r="G656" s="99" t="s">
        <v>39</v>
      </c>
      <c r="H656" s="100" t="s">
        <v>103</v>
      </c>
      <c r="I656" s="100"/>
      <c r="J656" s="96"/>
      <c r="K656" s="96"/>
      <c r="L656" s="114" t="s">
        <v>4272</v>
      </c>
      <c r="M656" s="96"/>
      <c r="N656" s="96" t="s">
        <v>3878</v>
      </c>
      <c r="O656" s="96"/>
      <c r="P656" s="96" t="s">
        <v>6261</v>
      </c>
      <c r="Q656" s="96">
        <v>50.010089399999998</v>
      </c>
      <c r="R656" s="96">
        <v>15.2922089</v>
      </c>
      <c r="S656" s="100" t="s">
        <v>7447</v>
      </c>
      <c r="T656" s="103" t="s">
        <v>71</v>
      </c>
      <c r="U656" s="103" t="s">
        <v>1838</v>
      </c>
      <c r="V656" s="103" t="s">
        <v>1838</v>
      </c>
      <c r="W656" s="103" t="s">
        <v>3880</v>
      </c>
    </row>
    <row r="657" spans="1:23" ht="15.75" customHeight="1">
      <c r="A657" s="96">
        <v>893</v>
      </c>
      <c r="B657" s="97" t="s">
        <v>99</v>
      </c>
      <c r="C657" s="96" t="s">
        <v>6263</v>
      </c>
      <c r="D657" s="96" t="s">
        <v>6263</v>
      </c>
      <c r="E657" s="96" t="s">
        <v>4382</v>
      </c>
      <c r="F657" s="98" t="s">
        <v>6264</v>
      </c>
      <c r="G657" s="99" t="s">
        <v>39</v>
      </c>
      <c r="H657" s="100" t="s">
        <v>114</v>
      </c>
      <c r="I657" s="100"/>
      <c r="J657" s="96" t="s">
        <v>6265</v>
      </c>
      <c r="K657" s="96" t="s">
        <v>6266</v>
      </c>
      <c r="L657" s="96" t="s">
        <v>6267</v>
      </c>
      <c r="M657" s="96"/>
      <c r="N657" s="100" t="s">
        <v>119</v>
      </c>
      <c r="O657" s="96"/>
      <c r="P657" s="96" t="s">
        <v>6268</v>
      </c>
      <c r="Q657" s="96">
        <v>50.071364699999997</v>
      </c>
      <c r="R657" s="96">
        <v>14.4842564</v>
      </c>
      <c r="S657" s="100" t="s">
        <v>7447</v>
      </c>
      <c r="T657" s="103" t="s">
        <v>58</v>
      </c>
      <c r="U657" s="103" t="s">
        <v>58</v>
      </c>
      <c r="V657" s="103" t="s">
        <v>58</v>
      </c>
      <c r="W657" s="103" t="s">
        <v>59</v>
      </c>
    </row>
    <row r="658" spans="1:23" ht="15.75" customHeight="1">
      <c r="A658" s="96">
        <v>894</v>
      </c>
      <c r="B658" s="97" t="s">
        <v>99</v>
      </c>
      <c r="C658" s="98" t="s">
        <v>6269</v>
      </c>
      <c r="D658" s="98" t="s">
        <v>6269</v>
      </c>
      <c r="E658" s="98" t="s">
        <v>1326</v>
      </c>
      <c r="F658" s="96" t="s">
        <v>6270</v>
      </c>
      <c r="G658" s="99" t="s">
        <v>39</v>
      </c>
      <c r="H658" s="100" t="s">
        <v>103</v>
      </c>
      <c r="I658" s="100"/>
      <c r="J658" s="98" t="s">
        <v>6271</v>
      </c>
      <c r="K658" s="98" t="s">
        <v>6272</v>
      </c>
      <c r="L658" s="96" t="s">
        <v>2931</v>
      </c>
      <c r="M658" s="96"/>
      <c r="N658" s="96" t="s">
        <v>2928</v>
      </c>
      <c r="O658" s="96"/>
      <c r="P658" s="98" t="s">
        <v>6273</v>
      </c>
      <c r="Q658" s="98">
        <v>49.872540299999997</v>
      </c>
      <c r="R658" s="98">
        <v>16.887028099999998</v>
      </c>
      <c r="S658" s="100" t="s">
        <v>52</v>
      </c>
      <c r="T658" s="103" t="s">
        <v>312</v>
      </c>
      <c r="U658" s="103" t="s">
        <v>313</v>
      </c>
      <c r="V658" s="103" t="s">
        <v>1326</v>
      </c>
      <c r="W658" s="103" t="s">
        <v>1326</v>
      </c>
    </row>
    <row r="659" spans="1:23" ht="15.75" customHeight="1">
      <c r="A659" s="96">
        <v>895</v>
      </c>
      <c r="B659" s="97" t="s">
        <v>99</v>
      </c>
      <c r="C659" s="96" t="s">
        <v>6274</v>
      </c>
      <c r="D659" s="96" t="s">
        <v>6274</v>
      </c>
      <c r="E659" s="96" t="s">
        <v>111</v>
      </c>
      <c r="F659" s="98" t="s">
        <v>112</v>
      </c>
      <c r="G659" s="99" t="s">
        <v>39</v>
      </c>
      <c r="H659" s="100" t="s">
        <v>114</v>
      </c>
      <c r="I659" s="100"/>
      <c r="J659" s="102" t="s">
        <v>6275</v>
      </c>
      <c r="K659" s="102" t="s">
        <v>6276</v>
      </c>
      <c r="L659" s="96" t="s">
        <v>5338</v>
      </c>
      <c r="M659" s="96"/>
      <c r="N659" s="96" t="s">
        <v>191</v>
      </c>
      <c r="O659" s="96"/>
      <c r="P659" s="98" t="s">
        <v>6277</v>
      </c>
      <c r="Q659" s="98">
        <v>49.838715800000003</v>
      </c>
      <c r="R659" s="98">
        <v>18.163020800000002</v>
      </c>
      <c r="S659" s="100" t="s">
        <v>52</v>
      </c>
      <c r="T659" s="103" t="s">
        <v>121</v>
      </c>
      <c r="U659" s="103" t="s">
        <v>122</v>
      </c>
      <c r="V659" s="103" t="s">
        <v>123</v>
      </c>
      <c r="W659" s="103" t="s">
        <v>123</v>
      </c>
    </row>
    <row r="660" spans="1:23" ht="15.75" customHeight="1">
      <c r="A660" s="96">
        <v>897</v>
      </c>
      <c r="B660" s="97" t="s">
        <v>99</v>
      </c>
      <c r="C660" s="98" t="s">
        <v>6284</v>
      </c>
      <c r="D660" s="98" t="s">
        <v>6284</v>
      </c>
      <c r="E660" s="98" t="s">
        <v>3886</v>
      </c>
      <c r="F660" s="98" t="s">
        <v>3887</v>
      </c>
      <c r="G660" s="99" t="s">
        <v>39</v>
      </c>
      <c r="H660" s="100" t="s">
        <v>103</v>
      </c>
      <c r="I660" s="100"/>
      <c r="J660" s="113" t="s">
        <v>3888</v>
      </c>
      <c r="K660" s="113" t="s">
        <v>3889</v>
      </c>
      <c r="L660" s="98" t="s">
        <v>3890</v>
      </c>
      <c r="M660" s="98" t="s">
        <v>6285</v>
      </c>
      <c r="N660" s="98" t="s">
        <v>3884</v>
      </c>
      <c r="O660" s="96"/>
      <c r="P660" s="98" t="s">
        <v>6286</v>
      </c>
      <c r="Q660" s="98">
        <v>50.724981700000001</v>
      </c>
      <c r="R660" s="98">
        <v>15.377559400000001</v>
      </c>
      <c r="S660" s="100" t="s">
        <v>7447</v>
      </c>
      <c r="T660" s="103" t="s">
        <v>67</v>
      </c>
      <c r="U660" s="103" t="s">
        <v>1240</v>
      </c>
      <c r="V660" s="103" t="s">
        <v>4291</v>
      </c>
      <c r="W660" s="103" t="s">
        <v>3886</v>
      </c>
    </row>
    <row r="661" spans="1:23" ht="15.75" customHeight="1">
      <c r="A661" s="96">
        <v>898</v>
      </c>
      <c r="B661" s="97" t="s">
        <v>99</v>
      </c>
      <c r="C661" s="98" t="s">
        <v>6287</v>
      </c>
      <c r="D661" s="98" t="s">
        <v>6287</v>
      </c>
      <c r="E661" s="98" t="s">
        <v>1140</v>
      </c>
      <c r="F661" s="98" t="s">
        <v>6288</v>
      </c>
      <c r="G661" s="99" t="s">
        <v>39</v>
      </c>
      <c r="H661" s="100" t="s">
        <v>103</v>
      </c>
      <c r="I661" s="100"/>
      <c r="J661" s="113" t="s">
        <v>6289</v>
      </c>
      <c r="K661" s="113" t="s">
        <v>6290</v>
      </c>
      <c r="L661" s="96" t="s">
        <v>360</v>
      </c>
      <c r="M661" s="98"/>
      <c r="N661" s="96" t="s">
        <v>355</v>
      </c>
      <c r="O661" s="96"/>
      <c r="P661" s="98" t="s">
        <v>6291</v>
      </c>
      <c r="Q661" s="98">
        <v>49.732674199999998</v>
      </c>
      <c r="R661" s="98">
        <v>13.370446400000001</v>
      </c>
      <c r="S661" s="100" t="s">
        <v>7447</v>
      </c>
      <c r="T661" s="103" t="s">
        <v>217</v>
      </c>
      <c r="U661" s="103" t="s">
        <v>1139</v>
      </c>
      <c r="V661" s="103" t="s">
        <v>1140</v>
      </c>
      <c r="W661" s="103" t="s">
        <v>1140</v>
      </c>
    </row>
    <row r="662" spans="1:23" ht="15.75" customHeight="1">
      <c r="A662" s="96">
        <v>899</v>
      </c>
      <c r="B662" s="97" t="s">
        <v>99</v>
      </c>
      <c r="C662" s="98" t="s">
        <v>6292</v>
      </c>
      <c r="D662" s="98" t="s">
        <v>6292</v>
      </c>
      <c r="E662" s="98" t="s">
        <v>268</v>
      </c>
      <c r="F662" s="98" t="s">
        <v>6293</v>
      </c>
      <c r="G662" s="99" t="s">
        <v>39</v>
      </c>
      <c r="H662" s="100" t="s">
        <v>103</v>
      </c>
      <c r="I662" s="100"/>
      <c r="J662" s="113" t="s">
        <v>6294</v>
      </c>
      <c r="K662" s="113" t="s">
        <v>6295</v>
      </c>
      <c r="L662" s="96" t="s">
        <v>270</v>
      </c>
      <c r="M662" s="98"/>
      <c r="N662" s="96" t="s">
        <v>266</v>
      </c>
      <c r="O662" s="96"/>
      <c r="P662" s="98" t="s">
        <v>6296</v>
      </c>
      <c r="Q662" s="98">
        <v>50.0840478</v>
      </c>
      <c r="R662" s="98">
        <v>14.3558644</v>
      </c>
      <c r="S662" s="100" t="s">
        <v>7447</v>
      </c>
      <c r="T662" s="103" t="s">
        <v>58</v>
      </c>
      <c r="U662" s="103" t="s">
        <v>58</v>
      </c>
      <c r="V662" s="103" t="s">
        <v>58</v>
      </c>
      <c r="W662" s="103" t="s">
        <v>59</v>
      </c>
    </row>
    <row r="663" spans="1:23" ht="15.75" customHeight="1">
      <c r="A663" s="96">
        <v>900</v>
      </c>
      <c r="B663" s="97" t="s">
        <v>99</v>
      </c>
      <c r="C663" s="98" t="s">
        <v>6297</v>
      </c>
      <c r="D663" s="98" t="s">
        <v>6297</v>
      </c>
      <c r="E663" s="98" t="s">
        <v>1673</v>
      </c>
      <c r="F663" s="98" t="s">
        <v>6298</v>
      </c>
      <c r="G663" s="99" t="s">
        <v>39</v>
      </c>
      <c r="H663" s="100" t="s">
        <v>114</v>
      </c>
      <c r="I663" s="100"/>
      <c r="J663" s="113" t="s">
        <v>6299</v>
      </c>
      <c r="K663" s="113" t="s">
        <v>6300</v>
      </c>
      <c r="L663" s="98" t="s">
        <v>6301</v>
      </c>
      <c r="M663" s="96"/>
      <c r="N663" s="100" t="s">
        <v>119</v>
      </c>
      <c r="O663" s="96"/>
      <c r="P663" s="98" t="s">
        <v>6302</v>
      </c>
      <c r="Q663" s="98">
        <v>50.431546400000002</v>
      </c>
      <c r="R663" s="98">
        <v>15.8132114</v>
      </c>
      <c r="S663" s="100" t="s">
        <v>7447</v>
      </c>
      <c r="T663" s="103" t="s">
        <v>207</v>
      </c>
      <c r="U663" s="103" t="s">
        <v>586</v>
      </c>
      <c r="V663" s="103" t="s">
        <v>1673</v>
      </c>
      <c r="W663" s="103" t="s">
        <v>1673</v>
      </c>
    </row>
    <row r="664" spans="1:23" ht="15.75" customHeight="1">
      <c r="A664" s="96">
        <v>915</v>
      </c>
      <c r="B664" s="97" t="s">
        <v>99</v>
      </c>
      <c r="C664" s="98" t="s">
        <v>6366</v>
      </c>
      <c r="D664" s="98" t="s">
        <v>6366</v>
      </c>
      <c r="E664" s="98" t="s">
        <v>1018</v>
      </c>
      <c r="F664" s="98" t="s">
        <v>6367</v>
      </c>
      <c r="G664" s="99" t="s">
        <v>39</v>
      </c>
      <c r="H664" s="100" t="s">
        <v>114</v>
      </c>
      <c r="I664" s="100"/>
      <c r="J664" s="113" t="s">
        <v>6368</v>
      </c>
      <c r="K664" s="113" t="s">
        <v>6369</v>
      </c>
      <c r="L664" s="98" t="s">
        <v>6370</v>
      </c>
      <c r="M664" s="98" t="s">
        <v>6371</v>
      </c>
      <c r="N664" s="103" t="s">
        <v>4926</v>
      </c>
      <c r="O664" s="96"/>
      <c r="P664" s="98" t="s">
        <v>6372</v>
      </c>
      <c r="Q664" s="98">
        <v>49.192635799999998</v>
      </c>
      <c r="R664" s="98">
        <v>16.606846900000001</v>
      </c>
      <c r="S664" s="100" t="s">
        <v>7447</v>
      </c>
      <c r="T664" s="103" t="s">
        <v>325</v>
      </c>
      <c r="U664" s="103" t="s">
        <v>1017</v>
      </c>
      <c r="V664" s="103" t="s">
        <v>1018</v>
      </c>
      <c r="W664" s="103" t="s">
        <v>1018</v>
      </c>
    </row>
    <row r="665" spans="1:23" ht="15.75" customHeight="1">
      <c r="A665" s="96">
        <v>916</v>
      </c>
      <c r="B665" s="97" t="s">
        <v>99</v>
      </c>
      <c r="C665" s="98" t="s">
        <v>2786</v>
      </c>
      <c r="D665" s="98" t="s">
        <v>2786</v>
      </c>
      <c r="E665" s="98" t="s">
        <v>123</v>
      </c>
      <c r="F665" s="98" t="s">
        <v>6373</v>
      </c>
      <c r="G665" s="99" t="s">
        <v>39</v>
      </c>
      <c r="H665" s="100" t="s">
        <v>103</v>
      </c>
      <c r="I665" s="100"/>
      <c r="J665" s="113" t="s">
        <v>6374</v>
      </c>
      <c r="K665" s="113" t="s">
        <v>6375</v>
      </c>
      <c r="L665" s="96" t="s">
        <v>2783</v>
      </c>
      <c r="M665" s="96"/>
      <c r="N665" s="98" t="s">
        <v>2778</v>
      </c>
      <c r="O665" s="96"/>
      <c r="P665" s="96" t="s">
        <v>6376</v>
      </c>
      <c r="Q665" s="96">
        <v>49.837223100000003</v>
      </c>
      <c r="R665" s="96">
        <v>18.2899536</v>
      </c>
      <c r="S665" s="100" t="s">
        <v>7447</v>
      </c>
      <c r="T665" s="103" t="s">
        <v>121</v>
      </c>
      <c r="U665" s="103" t="s">
        <v>122</v>
      </c>
      <c r="V665" s="103" t="s">
        <v>123</v>
      </c>
      <c r="W665" s="103" t="s">
        <v>123</v>
      </c>
    </row>
    <row r="666" spans="1:23" ht="15.75" customHeight="1">
      <c r="A666" s="96">
        <v>917</v>
      </c>
      <c r="B666" s="97" t="s">
        <v>99</v>
      </c>
      <c r="C666" s="98" t="s">
        <v>6377</v>
      </c>
      <c r="D666" s="98" t="s">
        <v>6377</v>
      </c>
      <c r="E666" s="98" t="s">
        <v>111</v>
      </c>
      <c r="F666" s="98" t="s">
        <v>6378</v>
      </c>
      <c r="G666" s="99" t="s">
        <v>39</v>
      </c>
      <c r="H666" s="100" t="s">
        <v>103</v>
      </c>
      <c r="I666" s="100"/>
      <c r="J666" s="113" t="s">
        <v>6379</v>
      </c>
      <c r="K666" s="113" t="s">
        <v>6380</v>
      </c>
      <c r="L666" s="98" t="s">
        <v>6381</v>
      </c>
      <c r="M666" s="96"/>
      <c r="N666" s="98" t="s">
        <v>6382</v>
      </c>
      <c r="O666" s="96"/>
      <c r="P666" s="98" t="s">
        <v>6383</v>
      </c>
      <c r="Q666" s="98">
        <v>49.841721700000001</v>
      </c>
      <c r="R666" s="98">
        <v>18.1784575</v>
      </c>
      <c r="S666" s="100" t="s">
        <v>7447</v>
      </c>
      <c r="T666" s="103" t="s">
        <v>121</v>
      </c>
      <c r="U666" s="103" t="s">
        <v>122</v>
      </c>
      <c r="V666" s="103" t="s">
        <v>123</v>
      </c>
      <c r="W666" s="103" t="s">
        <v>123</v>
      </c>
    </row>
    <row r="667" spans="1:23" ht="15.75" customHeight="1">
      <c r="A667" s="96">
        <v>918</v>
      </c>
      <c r="B667" s="97" t="s">
        <v>99</v>
      </c>
      <c r="C667" s="98" t="s">
        <v>6384</v>
      </c>
      <c r="D667" s="98" t="s">
        <v>6384</v>
      </c>
      <c r="E667" s="98" t="s">
        <v>6385</v>
      </c>
      <c r="F667" s="98" t="s">
        <v>6386</v>
      </c>
      <c r="G667" s="99" t="s">
        <v>39</v>
      </c>
      <c r="H667" s="100" t="s">
        <v>103</v>
      </c>
      <c r="I667" s="100"/>
      <c r="J667" s="96"/>
      <c r="K667" s="96"/>
      <c r="L667" s="96" t="s">
        <v>3621</v>
      </c>
      <c r="M667" s="96"/>
      <c r="N667" s="98" t="s">
        <v>3617</v>
      </c>
      <c r="O667" s="96"/>
      <c r="P667" s="98" t="s">
        <v>6387</v>
      </c>
      <c r="Q667" s="98">
        <v>50.085870800000002</v>
      </c>
      <c r="R667" s="98">
        <v>14.3828119</v>
      </c>
      <c r="S667" s="100" t="s">
        <v>7447</v>
      </c>
      <c r="T667" s="103" t="s">
        <v>58</v>
      </c>
      <c r="U667" s="103" t="s">
        <v>58</v>
      </c>
      <c r="V667" s="103" t="s">
        <v>58</v>
      </c>
      <c r="W667" s="103" t="s">
        <v>59</v>
      </c>
    </row>
    <row r="668" spans="1:23" ht="15.75" customHeight="1">
      <c r="A668" s="96">
        <v>922</v>
      </c>
      <c r="B668" s="97" t="s">
        <v>99</v>
      </c>
      <c r="C668" s="98" t="s">
        <v>6406</v>
      </c>
      <c r="D668" s="98" t="s">
        <v>6406</v>
      </c>
      <c r="E668" s="98" t="s">
        <v>3469</v>
      </c>
      <c r="F668" s="98" t="s">
        <v>6407</v>
      </c>
      <c r="G668" s="99" t="s">
        <v>39</v>
      </c>
      <c r="H668" s="100" t="s">
        <v>103</v>
      </c>
      <c r="I668" s="100"/>
      <c r="J668" s="96"/>
      <c r="K668" s="113" t="s">
        <v>6408</v>
      </c>
      <c r="L668" s="98" t="s">
        <v>6409</v>
      </c>
      <c r="M668" s="96" t="s">
        <v>5994</v>
      </c>
      <c r="N668" s="98" t="s">
        <v>6406</v>
      </c>
      <c r="O668" s="96"/>
      <c r="P668" s="98" t="s">
        <v>6410</v>
      </c>
      <c r="Q668" s="98">
        <v>50.725008099999997</v>
      </c>
      <c r="R668" s="98">
        <v>15.181062799999999</v>
      </c>
      <c r="S668" s="100" t="s">
        <v>52</v>
      </c>
      <c r="T668" s="103" t="s">
        <v>67</v>
      </c>
      <c r="U668" s="103" t="s">
        <v>3469</v>
      </c>
      <c r="V668" s="103" t="s">
        <v>3469</v>
      </c>
      <c r="W668" s="103" t="s">
        <v>3469</v>
      </c>
    </row>
    <row r="669" spans="1:23" ht="15.75" customHeight="1">
      <c r="A669" s="96">
        <v>926</v>
      </c>
      <c r="B669" s="97" t="s">
        <v>99</v>
      </c>
      <c r="C669" s="98" t="s">
        <v>6424</v>
      </c>
      <c r="D669" s="103" t="s">
        <v>7072</v>
      </c>
      <c r="E669" s="98" t="s">
        <v>111</v>
      </c>
      <c r="F669" s="98" t="s">
        <v>6425</v>
      </c>
      <c r="G669" s="99" t="s">
        <v>39</v>
      </c>
      <c r="H669" s="100" t="s">
        <v>103</v>
      </c>
      <c r="I669" s="100"/>
      <c r="J669" s="96"/>
      <c r="K669" s="113" t="str">
        <f>HYPERLINK("https://www.facebook.com/Pivnice-Portáš-1717432445006848","https://www.facebook.com/Pivnice-Portáš-1717432445006848")</f>
        <v>https://www.facebook.com/Pivnice-Portáš-1717432445006848</v>
      </c>
      <c r="L669" s="96" t="s">
        <v>219</v>
      </c>
      <c r="M669" s="96"/>
      <c r="N669" s="98" t="s">
        <v>214</v>
      </c>
      <c r="O669" s="107" t="s">
        <v>7073</v>
      </c>
      <c r="P669" s="98" t="s">
        <v>6426</v>
      </c>
      <c r="Q669" s="98">
        <v>49.825829200000001</v>
      </c>
      <c r="R669" s="98">
        <v>18.182320000000001</v>
      </c>
      <c r="S669" s="100" t="s">
        <v>52</v>
      </c>
      <c r="T669" s="103" t="s">
        <v>121</v>
      </c>
      <c r="U669" s="103" t="s">
        <v>122</v>
      </c>
      <c r="V669" s="103" t="s">
        <v>123</v>
      </c>
      <c r="W669" s="103" t="s">
        <v>123</v>
      </c>
    </row>
    <row r="670" spans="1:23" ht="15.75" customHeight="1">
      <c r="A670" s="96">
        <v>927</v>
      </c>
      <c r="B670" s="97" t="s">
        <v>99</v>
      </c>
      <c r="C670" s="98" t="s">
        <v>6427</v>
      </c>
      <c r="D670" s="98" t="s">
        <v>6427</v>
      </c>
      <c r="E670" s="98" t="s">
        <v>645</v>
      </c>
      <c r="F670" s="98" t="s">
        <v>6428</v>
      </c>
      <c r="G670" s="99" t="s">
        <v>39</v>
      </c>
      <c r="H670" s="100" t="s">
        <v>114</v>
      </c>
      <c r="I670" s="100"/>
      <c r="J670" s="113" t="s">
        <v>6429</v>
      </c>
      <c r="K670" s="113" t="s">
        <v>6430</v>
      </c>
      <c r="L670" s="98" t="s">
        <v>6431</v>
      </c>
      <c r="M670" s="96"/>
      <c r="N670" s="100" t="s">
        <v>119</v>
      </c>
      <c r="O670" s="96"/>
      <c r="P670" s="98" t="s">
        <v>6432</v>
      </c>
      <c r="Q670" s="98">
        <v>50.0399697</v>
      </c>
      <c r="R670" s="98">
        <v>14.505952499999999</v>
      </c>
      <c r="S670" s="100" t="s">
        <v>7447</v>
      </c>
      <c r="T670" s="103" t="s">
        <v>58</v>
      </c>
      <c r="U670" s="103" t="s">
        <v>58</v>
      </c>
      <c r="V670" s="103" t="s">
        <v>58</v>
      </c>
      <c r="W670" s="103" t="s">
        <v>59</v>
      </c>
    </row>
    <row r="671" spans="1:23" ht="15.75" customHeight="1">
      <c r="A671" s="96">
        <v>929</v>
      </c>
      <c r="B671" s="97" t="s">
        <v>99</v>
      </c>
      <c r="C671" s="98" t="s">
        <v>6437</v>
      </c>
      <c r="D671" s="98" t="s">
        <v>6437</v>
      </c>
      <c r="E671" s="98" t="s">
        <v>6438</v>
      </c>
      <c r="F671" s="98" t="s">
        <v>6439</v>
      </c>
      <c r="G671" s="99" t="s">
        <v>39</v>
      </c>
      <c r="H671" s="100" t="s">
        <v>114</v>
      </c>
      <c r="I671" s="100"/>
      <c r="J671" s="96"/>
      <c r="K671" s="107" t="s">
        <v>7074</v>
      </c>
      <c r="L671" s="107" t="s">
        <v>7075</v>
      </c>
      <c r="M671" s="96"/>
      <c r="N671" s="100" t="s">
        <v>119</v>
      </c>
      <c r="O671" s="96"/>
      <c r="P671" s="98" t="s">
        <v>6440</v>
      </c>
      <c r="Q671" s="98">
        <v>50.0004603</v>
      </c>
      <c r="R671" s="98">
        <v>16.208906899999999</v>
      </c>
      <c r="S671" s="100" t="s">
        <v>7447</v>
      </c>
      <c r="T671" s="103" t="s">
        <v>483</v>
      </c>
      <c r="U671" s="103" t="s">
        <v>484</v>
      </c>
      <c r="V671" s="103" t="s">
        <v>3370</v>
      </c>
      <c r="W671" s="103" t="s">
        <v>6438</v>
      </c>
    </row>
    <row r="672" spans="1:23" ht="15.75" customHeight="1">
      <c r="A672" s="96">
        <v>930</v>
      </c>
      <c r="B672" s="97" t="s">
        <v>99</v>
      </c>
      <c r="C672" s="98" t="s">
        <v>6441</v>
      </c>
      <c r="D672" s="103" t="s">
        <v>7076</v>
      </c>
      <c r="E672" s="98" t="s">
        <v>6442</v>
      </c>
      <c r="F672" s="98" t="s">
        <v>6443</v>
      </c>
      <c r="G672" s="99" t="s">
        <v>39</v>
      </c>
      <c r="H672" s="100" t="s">
        <v>114</v>
      </c>
      <c r="I672" s="100"/>
      <c r="J672" s="107" t="s">
        <v>7077</v>
      </c>
      <c r="K672" s="107" t="s">
        <v>7078</v>
      </c>
      <c r="L672" s="107" t="s">
        <v>7079</v>
      </c>
      <c r="M672" s="96"/>
      <c r="N672" s="100" t="s">
        <v>119</v>
      </c>
      <c r="O672" s="96"/>
      <c r="P672" s="98" t="s">
        <v>6444</v>
      </c>
      <c r="Q672" s="98">
        <v>50.475795300000001</v>
      </c>
      <c r="R672" s="98">
        <v>16.1810358</v>
      </c>
      <c r="S672" s="100" t="s">
        <v>7447</v>
      </c>
      <c r="T672" s="103" t="s">
        <v>207</v>
      </c>
      <c r="U672" s="103" t="s">
        <v>1251</v>
      </c>
      <c r="V672" s="103" t="s">
        <v>1251</v>
      </c>
      <c r="W672" s="103" t="s">
        <v>6442</v>
      </c>
    </row>
    <row r="673" spans="1:23" ht="15.75" customHeight="1">
      <c r="A673" s="96">
        <v>931</v>
      </c>
      <c r="B673" s="97" t="s">
        <v>99</v>
      </c>
      <c r="C673" s="98" t="s">
        <v>6445</v>
      </c>
      <c r="D673" s="98" t="s">
        <v>6445</v>
      </c>
      <c r="E673" s="98" t="s">
        <v>739</v>
      </c>
      <c r="F673" s="98" t="s">
        <v>4028</v>
      </c>
      <c r="G673" s="99" t="s">
        <v>39</v>
      </c>
      <c r="H673" s="100" t="s">
        <v>103</v>
      </c>
      <c r="I673" s="100"/>
      <c r="J673" s="113" t="s">
        <v>4029</v>
      </c>
      <c r="K673" s="113" t="s">
        <v>4030</v>
      </c>
      <c r="L673" s="96" t="s">
        <v>741</v>
      </c>
      <c r="M673" s="96"/>
      <c r="N673" s="98" t="s">
        <v>737</v>
      </c>
      <c r="O673" s="96"/>
      <c r="P673" s="98" t="s">
        <v>4033</v>
      </c>
      <c r="Q673" s="98">
        <v>49.679981400000003</v>
      </c>
      <c r="R673" s="98">
        <v>18.464394200000001</v>
      </c>
      <c r="S673" s="100" t="s">
        <v>7447</v>
      </c>
      <c r="T673" s="103" t="s">
        <v>121</v>
      </c>
      <c r="U673" s="103" t="s">
        <v>259</v>
      </c>
      <c r="V673" s="103" t="s">
        <v>259</v>
      </c>
      <c r="W673" s="103" t="s">
        <v>739</v>
      </c>
    </row>
    <row r="674" spans="1:23" ht="15.75" customHeight="1">
      <c r="A674" s="96">
        <v>932</v>
      </c>
      <c r="B674" s="97" t="s">
        <v>99</v>
      </c>
      <c r="C674" s="98" t="s">
        <v>6446</v>
      </c>
      <c r="D674" s="98" t="s">
        <v>6446</v>
      </c>
      <c r="E674" s="96" t="s">
        <v>1785</v>
      </c>
      <c r="F674" s="98" t="s">
        <v>6448</v>
      </c>
      <c r="G674" s="99" t="s">
        <v>39</v>
      </c>
      <c r="H674" s="100" t="s">
        <v>103</v>
      </c>
      <c r="I674" s="100"/>
      <c r="J674" s="96"/>
      <c r="K674" s="96"/>
      <c r="L674" s="107" t="s">
        <v>866</v>
      </c>
      <c r="M674" s="96"/>
      <c r="N674" s="98" t="s">
        <v>6447</v>
      </c>
      <c r="O674" s="96"/>
      <c r="P674" s="98" t="s">
        <v>6449</v>
      </c>
      <c r="Q674" s="98">
        <v>50.087559400000004</v>
      </c>
      <c r="R674" s="98">
        <v>14.4569375</v>
      </c>
      <c r="S674" s="100" t="s">
        <v>7447</v>
      </c>
      <c r="T674" s="103" t="s">
        <v>58</v>
      </c>
      <c r="U674" s="103" t="s">
        <v>58</v>
      </c>
      <c r="V674" s="103" t="s">
        <v>58</v>
      </c>
      <c r="W674" s="103" t="s">
        <v>59</v>
      </c>
    </row>
    <row r="675" spans="1:23" ht="15.75" customHeight="1">
      <c r="A675" s="96">
        <v>933</v>
      </c>
      <c r="B675" s="97" t="s">
        <v>99</v>
      </c>
      <c r="C675" s="98" t="s">
        <v>6424</v>
      </c>
      <c r="D675" s="103" t="s">
        <v>7072</v>
      </c>
      <c r="E675" s="98" t="s">
        <v>5398</v>
      </c>
      <c r="F675" s="98" t="s">
        <v>6450</v>
      </c>
      <c r="G675" s="99" t="s">
        <v>39</v>
      </c>
      <c r="H675" s="100" t="s">
        <v>103</v>
      </c>
      <c r="I675" s="100"/>
      <c r="J675" s="96"/>
      <c r="K675" s="96"/>
      <c r="L675" s="96" t="s">
        <v>219</v>
      </c>
      <c r="M675" s="96"/>
      <c r="N675" s="98" t="s">
        <v>214</v>
      </c>
      <c r="O675" s="96"/>
      <c r="P675" s="98" t="s">
        <v>6451</v>
      </c>
      <c r="Q675" s="98">
        <v>49.827570000000001</v>
      </c>
      <c r="R675" s="98">
        <v>18.252314999999999</v>
      </c>
      <c r="S675" s="100" t="s">
        <v>7447</v>
      </c>
      <c r="T675" s="103" t="s">
        <v>121</v>
      </c>
      <c r="U675" s="103" t="s">
        <v>122</v>
      </c>
      <c r="V675" s="103" t="s">
        <v>123</v>
      </c>
      <c r="W675" s="103" t="s">
        <v>123</v>
      </c>
    </row>
    <row r="676" spans="1:23" ht="15.75" customHeight="1">
      <c r="A676" s="96">
        <v>934</v>
      </c>
      <c r="B676" s="97" t="s">
        <v>99</v>
      </c>
      <c r="C676" s="98" t="s">
        <v>6452</v>
      </c>
      <c r="D676" s="98" t="s">
        <v>6452</v>
      </c>
      <c r="E676" s="98" t="s">
        <v>638</v>
      </c>
      <c r="F676" s="98" t="s">
        <v>6453</v>
      </c>
      <c r="G676" s="99" t="s">
        <v>39</v>
      </c>
      <c r="H676" s="100" t="s">
        <v>114</v>
      </c>
      <c r="I676" s="100"/>
      <c r="J676" s="96"/>
      <c r="K676" s="113" t="s">
        <v>6454</v>
      </c>
      <c r="L676" s="107" t="s">
        <v>7080</v>
      </c>
      <c r="M676" s="96"/>
      <c r="N676" s="100" t="s">
        <v>119</v>
      </c>
      <c r="O676" s="96"/>
      <c r="P676" s="98" t="s">
        <v>6455</v>
      </c>
      <c r="Q676" s="98">
        <v>50.4697125</v>
      </c>
      <c r="R676" s="98">
        <v>13.398634400000001</v>
      </c>
      <c r="S676" s="100" t="s">
        <v>7447</v>
      </c>
      <c r="T676" s="103" t="s">
        <v>353</v>
      </c>
      <c r="U676" s="103" t="s">
        <v>638</v>
      </c>
      <c r="V676" s="103" t="s">
        <v>638</v>
      </c>
      <c r="W676" s="103" t="s">
        <v>638</v>
      </c>
    </row>
    <row r="677" spans="1:23" ht="15.75" customHeight="1">
      <c r="A677" s="96">
        <v>935</v>
      </c>
      <c r="B677" s="97" t="s">
        <v>99</v>
      </c>
      <c r="C677" s="98" t="s">
        <v>6456</v>
      </c>
      <c r="D677" s="98" t="s">
        <v>6456</v>
      </c>
      <c r="E677" s="98" t="s">
        <v>639</v>
      </c>
      <c r="F677" s="98" t="s">
        <v>6457</v>
      </c>
      <c r="G677" s="99" t="s">
        <v>39</v>
      </c>
      <c r="H677" s="100" t="s">
        <v>114</v>
      </c>
      <c r="I677" s="100"/>
      <c r="J677" s="113" t="s">
        <v>6458</v>
      </c>
      <c r="K677" s="113" t="s">
        <v>6459</v>
      </c>
      <c r="L677" s="107" t="s">
        <v>7081</v>
      </c>
      <c r="M677" s="96"/>
      <c r="N677" s="100" t="s">
        <v>119</v>
      </c>
      <c r="O677" s="96"/>
      <c r="P677" s="98" t="s">
        <v>6460</v>
      </c>
      <c r="Q677" s="98">
        <v>50.376289399999997</v>
      </c>
      <c r="R677" s="98">
        <v>13.2702817</v>
      </c>
      <c r="S677" s="100" t="s">
        <v>7447</v>
      </c>
      <c r="T677" s="103" t="s">
        <v>353</v>
      </c>
      <c r="U677" s="103" t="s">
        <v>638</v>
      </c>
      <c r="V677" s="103" t="s">
        <v>639</v>
      </c>
      <c r="W677" s="103" t="s">
        <v>639</v>
      </c>
    </row>
    <row r="678" spans="1:23" ht="15.75" customHeight="1">
      <c r="A678" s="96">
        <v>936</v>
      </c>
      <c r="B678" s="97" t="s">
        <v>99</v>
      </c>
      <c r="C678" s="98" t="s">
        <v>6461</v>
      </c>
      <c r="D678" s="98" t="s">
        <v>6461</v>
      </c>
      <c r="E678" s="98" t="s">
        <v>6462</v>
      </c>
      <c r="F678" s="98" t="s">
        <v>6463</v>
      </c>
      <c r="G678" s="99" t="s">
        <v>39</v>
      </c>
      <c r="H678" s="100" t="s">
        <v>114</v>
      </c>
      <c r="I678" s="100"/>
      <c r="J678" s="113" t="s">
        <v>6464</v>
      </c>
      <c r="K678" s="113" t="s">
        <v>6465</v>
      </c>
      <c r="L678" s="107" t="s">
        <v>7082</v>
      </c>
      <c r="M678" s="98" t="s">
        <v>6466</v>
      </c>
      <c r="N678" s="100" t="s">
        <v>119</v>
      </c>
      <c r="O678" s="96"/>
      <c r="P678" s="98" t="s">
        <v>6467</v>
      </c>
      <c r="Q678" s="98">
        <v>50.151801900000002</v>
      </c>
      <c r="R678" s="98">
        <v>13.900509400000001</v>
      </c>
      <c r="S678" s="100" t="s">
        <v>7447</v>
      </c>
      <c r="T678" s="103" t="s">
        <v>71</v>
      </c>
      <c r="U678" s="103" t="s">
        <v>76</v>
      </c>
      <c r="V678" s="103" t="s">
        <v>76</v>
      </c>
      <c r="W678" s="103" t="s">
        <v>6462</v>
      </c>
    </row>
    <row r="679" spans="1:23" ht="15.75" customHeight="1">
      <c r="A679" s="96">
        <v>937</v>
      </c>
      <c r="B679" s="97" t="s">
        <v>99</v>
      </c>
      <c r="C679" s="98" t="s">
        <v>6468</v>
      </c>
      <c r="D679" s="98" t="s">
        <v>6468</v>
      </c>
      <c r="E679" s="98" t="s">
        <v>6469</v>
      </c>
      <c r="F679" s="98" t="s">
        <v>6470</v>
      </c>
      <c r="G679" s="99" t="s">
        <v>39</v>
      </c>
      <c r="H679" s="100" t="s">
        <v>114</v>
      </c>
      <c r="I679" s="100"/>
      <c r="J679" s="96"/>
      <c r="K679" s="113" t="s">
        <v>6471</v>
      </c>
      <c r="L679" s="107" t="s">
        <v>7083</v>
      </c>
      <c r="M679" s="96"/>
      <c r="N679" s="100" t="s">
        <v>119</v>
      </c>
      <c r="O679" s="96"/>
      <c r="P679" s="98" t="s">
        <v>6472</v>
      </c>
      <c r="Q679" s="98">
        <v>50.490707200000003</v>
      </c>
      <c r="R679" s="98">
        <v>15.0581786</v>
      </c>
      <c r="S679" s="100" t="s">
        <v>7447</v>
      </c>
      <c r="T679" s="103" t="s">
        <v>71</v>
      </c>
      <c r="U679" s="103" t="s">
        <v>810</v>
      </c>
      <c r="V679" s="103" t="s">
        <v>811</v>
      </c>
      <c r="W679" s="103" t="s">
        <v>7084</v>
      </c>
    </row>
    <row r="680" spans="1:23" ht="15.75" customHeight="1">
      <c r="A680" s="96">
        <v>938</v>
      </c>
      <c r="B680" s="97" t="s">
        <v>99</v>
      </c>
      <c r="C680" s="98" t="s">
        <v>6473</v>
      </c>
      <c r="D680" s="98" t="s">
        <v>6473</v>
      </c>
      <c r="E680" s="98" t="s">
        <v>2602</v>
      </c>
      <c r="F680" s="98" t="s">
        <v>6474</v>
      </c>
      <c r="G680" s="99" t="s">
        <v>39</v>
      </c>
      <c r="H680" s="100" t="s">
        <v>114</v>
      </c>
      <c r="I680" s="100"/>
      <c r="J680" s="96"/>
      <c r="K680" s="113" t="s">
        <v>6475</v>
      </c>
      <c r="L680" s="107" t="s">
        <v>7085</v>
      </c>
      <c r="M680" s="96"/>
      <c r="N680" s="100" t="s">
        <v>119</v>
      </c>
      <c r="O680" s="96"/>
      <c r="P680" s="98" t="s">
        <v>6476</v>
      </c>
      <c r="Q680" s="98">
        <v>50.0747444</v>
      </c>
      <c r="R680" s="98">
        <v>14.4421742</v>
      </c>
      <c r="S680" s="100" t="s">
        <v>7447</v>
      </c>
      <c r="T680" s="103" t="s">
        <v>58</v>
      </c>
      <c r="U680" s="103" t="s">
        <v>58</v>
      </c>
      <c r="V680" s="103" t="s">
        <v>58</v>
      </c>
      <c r="W680" s="103" t="s">
        <v>59</v>
      </c>
    </row>
    <row r="681" spans="1:23" ht="15.75" customHeight="1">
      <c r="A681" s="96">
        <v>939</v>
      </c>
      <c r="B681" s="97" t="s">
        <v>99</v>
      </c>
      <c r="C681" s="98" t="s">
        <v>6477</v>
      </c>
      <c r="D681" s="98" t="s">
        <v>6477</v>
      </c>
      <c r="E681" s="98" t="s">
        <v>645</v>
      </c>
      <c r="F681" s="98" t="s">
        <v>6478</v>
      </c>
      <c r="G681" s="99" t="s">
        <v>39</v>
      </c>
      <c r="H681" s="100" t="s">
        <v>103</v>
      </c>
      <c r="I681" s="100"/>
      <c r="J681" s="96"/>
      <c r="K681" s="113" t="s">
        <v>6479</v>
      </c>
      <c r="L681" s="98" t="s">
        <v>1821</v>
      </c>
      <c r="M681" s="96"/>
      <c r="N681" s="98" t="s">
        <v>1817</v>
      </c>
      <c r="O681" s="96"/>
      <c r="P681" s="98" t="s">
        <v>6480</v>
      </c>
      <c r="Q681" s="98">
        <v>50.039310299999997</v>
      </c>
      <c r="R681" s="98">
        <v>14.5104661</v>
      </c>
      <c r="S681" s="100" t="s">
        <v>7447</v>
      </c>
      <c r="T681" s="103" t="s">
        <v>58</v>
      </c>
      <c r="U681" s="103" t="s">
        <v>58</v>
      </c>
      <c r="V681" s="103" t="s">
        <v>58</v>
      </c>
      <c r="W681" s="103" t="s">
        <v>59</v>
      </c>
    </row>
    <row r="682" spans="1:23" ht="15.75" customHeight="1">
      <c r="A682" s="96">
        <v>942</v>
      </c>
      <c r="B682" s="97" t="s">
        <v>99</v>
      </c>
      <c r="C682" s="98" t="s">
        <v>6489</v>
      </c>
      <c r="D682" s="98" t="s">
        <v>6489</v>
      </c>
      <c r="E682" s="98" t="s">
        <v>4724</v>
      </c>
      <c r="F682" s="96" t="s">
        <v>4725</v>
      </c>
      <c r="G682" s="99" t="s">
        <v>39</v>
      </c>
      <c r="H682" s="100" t="s">
        <v>114</v>
      </c>
      <c r="I682" s="100"/>
      <c r="J682" s="96"/>
      <c r="K682" s="113" t="s">
        <v>6490</v>
      </c>
      <c r="L682" s="107" t="s">
        <v>7086</v>
      </c>
      <c r="M682" s="96"/>
      <c r="N682" s="100" t="s">
        <v>119</v>
      </c>
      <c r="O682" s="96"/>
      <c r="P682" s="96" t="s">
        <v>7939</v>
      </c>
      <c r="Q682" s="101">
        <v>49.783211700000003</v>
      </c>
      <c r="R682" s="101">
        <v>18.223611900000002</v>
      </c>
      <c r="S682" s="100" t="s">
        <v>7447</v>
      </c>
      <c r="T682" s="103" t="s">
        <v>121</v>
      </c>
      <c r="U682" s="103" t="s">
        <v>122</v>
      </c>
      <c r="V682" s="103" t="s">
        <v>123</v>
      </c>
      <c r="W682" s="103" t="s">
        <v>123</v>
      </c>
    </row>
    <row r="683" spans="1:23" ht="15.75" customHeight="1">
      <c r="A683" s="96">
        <v>943</v>
      </c>
      <c r="B683" s="97" t="s">
        <v>99</v>
      </c>
      <c r="C683" s="98" t="s">
        <v>6491</v>
      </c>
      <c r="D683" s="98" t="s">
        <v>6491</v>
      </c>
      <c r="E683" s="98" t="s">
        <v>108</v>
      </c>
      <c r="F683" s="98" t="s">
        <v>6493</v>
      </c>
      <c r="G683" s="99" t="s">
        <v>39</v>
      </c>
      <c r="H683" s="100" t="s">
        <v>103</v>
      </c>
      <c r="I683" s="100"/>
      <c r="J683" s="96"/>
      <c r="K683" s="107" t="s">
        <v>7087</v>
      </c>
      <c r="L683" s="107" t="s">
        <v>7088</v>
      </c>
      <c r="M683" s="98" t="s">
        <v>6494</v>
      </c>
      <c r="N683" s="98"/>
      <c r="O683" s="96"/>
      <c r="P683" s="98" t="s">
        <v>6495</v>
      </c>
      <c r="Q683" s="98">
        <v>50.685451100000002</v>
      </c>
      <c r="R683" s="98">
        <v>14.5387828</v>
      </c>
      <c r="S683" s="100" t="s">
        <v>7447</v>
      </c>
      <c r="T683" s="103" t="s">
        <v>67</v>
      </c>
      <c r="U683" s="103" t="s">
        <v>108</v>
      </c>
      <c r="V683" s="103" t="s">
        <v>108</v>
      </c>
      <c r="W683" s="103" t="s">
        <v>108</v>
      </c>
    </row>
    <row r="684" spans="1:23" ht="15.75" customHeight="1">
      <c r="A684" s="96">
        <v>947</v>
      </c>
      <c r="B684" s="97" t="s">
        <v>99</v>
      </c>
      <c r="C684" s="98" t="s">
        <v>6513</v>
      </c>
      <c r="D684" s="98" t="s">
        <v>6513</v>
      </c>
      <c r="E684" s="98" t="s">
        <v>4043</v>
      </c>
      <c r="F684" s="98" t="s">
        <v>4044</v>
      </c>
      <c r="G684" s="99" t="s">
        <v>39</v>
      </c>
      <c r="H684" s="100" t="s">
        <v>103</v>
      </c>
      <c r="I684" s="100"/>
      <c r="J684" s="113" t="s">
        <v>4045</v>
      </c>
      <c r="K684" s="96"/>
      <c r="L684" s="98" t="s">
        <v>4047</v>
      </c>
      <c r="M684" s="96"/>
      <c r="N684" s="98" t="s">
        <v>4041</v>
      </c>
      <c r="O684" s="96"/>
      <c r="P684" s="98" t="s">
        <v>6514</v>
      </c>
      <c r="Q684" s="98">
        <v>49.939349999999997</v>
      </c>
      <c r="R684" s="98">
        <v>14.132541700000001</v>
      </c>
      <c r="S684" s="100" t="s">
        <v>7447</v>
      </c>
      <c r="T684" s="103" t="s">
        <v>71</v>
      </c>
      <c r="U684" s="103" t="s">
        <v>183</v>
      </c>
      <c r="V684" s="103" t="s">
        <v>183</v>
      </c>
      <c r="W684" s="103" t="s">
        <v>4043</v>
      </c>
    </row>
    <row r="685" spans="1:23" ht="15.75" customHeight="1">
      <c r="A685" s="96">
        <v>994</v>
      </c>
      <c r="B685" s="97" t="s">
        <v>27</v>
      </c>
      <c r="C685" s="100" t="s">
        <v>4081</v>
      </c>
      <c r="D685" s="103" t="s">
        <v>7089</v>
      </c>
      <c r="E685" s="100" t="s">
        <v>2602</v>
      </c>
      <c r="F685" s="103" t="s">
        <v>4083</v>
      </c>
      <c r="G685" s="97" t="s">
        <v>39</v>
      </c>
      <c r="H685" s="100" t="s">
        <v>40</v>
      </c>
      <c r="I685" s="103">
        <v>2018</v>
      </c>
      <c r="J685" s="114" t="s">
        <v>7090</v>
      </c>
      <c r="K685" s="114" t="s">
        <v>4084</v>
      </c>
      <c r="L685" s="103" t="s">
        <v>4085</v>
      </c>
      <c r="M685" s="100" t="s">
        <v>4087</v>
      </c>
      <c r="N685" s="103" t="s">
        <v>7091</v>
      </c>
      <c r="O685" s="100"/>
      <c r="P685" s="103" t="s">
        <v>4088</v>
      </c>
      <c r="Q685" s="103">
        <v>50.076648599999999</v>
      </c>
      <c r="R685" s="100">
        <v>14.438621400000001</v>
      </c>
      <c r="S685" s="100" t="s">
        <v>7447</v>
      </c>
      <c r="T685" s="103" t="s">
        <v>58</v>
      </c>
      <c r="U685" s="103" t="s">
        <v>58</v>
      </c>
      <c r="V685" s="103" t="s">
        <v>58</v>
      </c>
      <c r="W685" s="103" t="s">
        <v>59</v>
      </c>
    </row>
    <row r="686" spans="1:23" ht="15.75" customHeight="1">
      <c r="A686" s="96">
        <v>995</v>
      </c>
      <c r="B686" s="99" t="s">
        <v>27</v>
      </c>
      <c r="C686" s="100" t="s">
        <v>7092</v>
      </c>
      <c r="D686" s="103" t="s">
        <v>7093</v>
      </c>
      <c r="E686" s="103" t="s">
        <v>674</v>
      </c>
      <c r="F686" s="119" t="s">
        <v>7094</v>
      </c>
      <c r="G686" s="97" t="s">
        <v>39</v>
      </c>
      <c r="H686" s="100" t="s">
        <v>40</v>
      </c>
      <c r="I686" s="103">
        <v>2018</v>
      </c>
      <c r="J686" s="114" t="s">
        <v>7095</v>
      </c>
      <c r="K686" s="114" t="s">
        <v>7096</v>
      </c>
      <c r="L686" s="103" t="s">
        <v>7097</v>
      </c>
      <c r="M686" s="103" t="s">
        <v>7098</v>
      </c>
      <c r="N686" s="100"/>
      <c r="O686" s="100"/>
      <c r="P686" s="103" t="s">
        <v>7099</v>
      </c>
      <c r="Q686" s="100">
        <v>49.414613299999999</v>
      </c>
      <c r="R686" s="103">
        <v>14.658798600000001</v>
      </c>
      <c r="S686" s="100" t="s">
        <v>7447</v>
      </c>
      <c r="T686" s="103" t="s">
        <v>369</v>
      </c>
      <c r="U686" s="103" t="s">
        <v>674</v>
      </c>
      <c r="V686" s="103" t="s">
        <v>674</v>
      </c>
      <c r="W686" s="103" t="s">
        <v>674</v>
      </c>
    </row>
    <row r="687" spans="1:23" ht="15.75" customHeight="1">
      <c r="A687" s="96">
        <v>996</v>
      </c>
      <c r="B687" s="97" t="s">
        <v>99</v>
      </c>
      <c r="C687" s="103" t="s">
        <v>765</v>
      </c>
      <c r="D687" s="103" t="s">
        <v>7100</v>
      </c>
      <c r="E687" s="103" t="s">
        <v>4724</v>
      </c>
      <c r="F687" s="103" t="s">
        <v>7101</v>
      </c>
      <c r="G687" s="97" t="s">
        <v>39</v>
      </c>
      <c r="H687" s="100" t="s">
        <v>103</v>
      </c>
      <c r="I687" s="98"/>
      <c r="J687" s="114" t="s">
        <v>7102</v>
      </c>
      <c r="K687" s="114" t="s">
        <v>7103</v>
      </c>
      <c r="L687" s="96" t="s">
        <v>2595</v>
      </c>
      <c r="M687" s="100"/>
      <c r="N687" s="103" t="s">
        <v>2591</v>
      </c>
      <c r="O687" s="114" t="s">
        <v>7104</v>
      </c>
      <c r="P687" s="103" t="s">
        <v>7105</v>
      </c>
      <c r="Q687" s="103">
        <v>49.780855600000002</v>
      </c>
      <c r="R687" s="103">
        <v>18.232402199999999</v>
      </c>
      <c r="S687" s="100" t="s">
        <v>52</v>
      </c>
      <c r="T687" s="103" t="s">
        <v>121</v>
      </c>
      <c r="U687" s="103" t="s">
        <v>122</v>
      </c>
      <c r="V687" s="103" t="s">
        <v>123</v>
      </c>
      <c r="W687" s="103" t="s">
        <v>123</v>
      </c>
    </row>
    <row r="688" spans="1:23" ht="15.75" customHeight="1">
      <c r="A688" s="96">
        <v>997</v>
      </c>
      <c r="B688" s="97" t="s">
        <v>99</v>
      </c>
      <c r="C688" s="103" t="s">
        <v>7106</v>
      </c>
      <c r="D688" s="103" t="s">
        <v>7107</v>
      </c>
      <c r="E688" s="103" t="s">
        <v>1207</v>
      </c>
      <c r="F688" s="103" t="s">
        <v>7108</v>
      </c>
      <c r="G688" s="97" t="s">
        <v>39</v>
      </c>
      <c r="H688" s="100" t="s">
        <v>6913</v>
      </c>
      <c r="I688" s="98"/>
      <c r="J688" s="100"/>
      <c r="K688" s="114" t="s">
        <v>7109</v>
      </c>
      <c r="L688" s="114" t="s">
        <v>7110</v>
      </c>
      <c r="M688" s="100"/>
      <c r="N688" s="103" t="s">
        <v>119</v>
      </c>
      <c r="O688" s="100"/>
      <c r="P688" s="103" t="s">
        <v>7111</v>
      </c>
      <c r="Q688" s="103">
        <v>49.789531099999998</v>
      </c>
      <c r="R688" s="103">
        <v>18.2266403</v>
      </c>
      <c r="S688" s="100" t="s">
        <v>52</v>
      </c>
      <c r="T688" s="103" t="s">
        <v>121</v>
      </c>
      <c r="U688" s="103" t="s">
        <v>122</v>
      </c>
      <c r="V688" s="103" t="s">
        <v>123</v>
      </c>
      <c r="W688" s="103" t="s">
        <v>123</v>
      </c>
    </row>
    <row r="689" spans="1:23" ht="15.75" customHeight="1">
      <c r="A689" s="96">
        <v>1000</v>
      </c>
      <c r="B689" s="97" t="s">
        <v>27</v>
      </c>
      <c r="C689" s="103" t="s">
        <v>1079</v>
      </c>
      <c r="D689" s="103" t="s">
        <v>7112</v>
      </c>
      <c r="E689" s="103" t="s">
        <v>1079</v>
      </c>
      <c r="F689" s="103" t="s">
        <v>7113</v>
      </c>
      <c r="G689" s="97" t="s">
        <v>39</v>
      </c>
      <c r="H689" s="100" t="s">
        <v>60</v>
      </c>
      <c r="I689" s="103">
        <v>2018</v>
      </c>
      <c r="J689" s="100"/>
      <c r="K689" s="114" t="s">
        <v>7114</v>
      </c>
      <c r="L689" s="114" t="s">
        <v>7115</v>
      </c>
      <c r="M689" s="100" t="s">
        <v>7116</v>
      </c>
      <c r="N689" s="103" t="s">
        <v>7117</v>
      </c>
      <c r="O689" s="100"/>
      <c r="P689" s="103" t="s">
        <v>7118</v>
      </c>
      <c r="Q689" s="103">
        <v>49.367864400000002</v>
      </c>
      <c r="R689" s="103">
        <v>15.778498600000001</v>
      </c>
      <c r="S689" s="100" t="s">
        <v>7447</v>
      </c>
      <c r="T689" s="103" t="s">
        <v>144</v>
      </c>
      <c r="U689" s="103" t="s">
        <v>636</v>
      </c>
      <c r="V689" s="103" t="s">
        <v>636</v>
      </c>
      <c r="W689" s="103" t="s">
        <v>1079</v>
      </c>
    </row>
    <row r="690" spans="1:23" ht="16.5" customHeight="1">
      <c r="A690" s="96">
        <v>1006</v>
      </c>
      <c r="B690" s="97" t="s">
        <v>27</v>
      </c>
      <c r="C690" s="96" t="s">
        <v>6395</v>
      </c>
      <c r="D690" s="103" t="s">
        <v>7119</v>
      </c>
      <c r="E690" s="96" t="s">
        <v>7120</v>
      </c>
      <c r="F690" s="119" t="s">
        <v>7121</v>
      </c>
      <c r="G690" s="97" t="s">
        <v>39</v>
      </c>
      <c r="H690" s="100" t="s">
        <v>60</v>
      </c>
      <c r="I690" s="103">
        <v>2018</v>
      </c>
      <c r="J690" s="107" t="s">
        <v>7071</v>
      </c>
      <c r="K690" s="114" t="s">
        <v>7122</v>
      </c>
      <c r="L690" s="114" t="s">
        <v>7123</v>
      </c>
      <c r="M690" s="100"/>
      <c r="N690" s="103" t="s">
        <v>6395</v>
      </c>
      <c r="O690" s="100"/>
      <c r="P690" s="100" t="s">
        <v>7124</v>
      </c>
      <c r="Q690" s="100">
        <v>49.102552799999998</v>
      </c>
      <c r="R690" s="103">
        <v>14.1610067</v>
      </c>
      <c r="S690" s="100" t="s">
        <v>7447</v>
      </c>
      <c r="T690" s="103" t="s">
        <v>369</v>
      </c>
      <c r="U690" s="103" t="s">
        <v>372</v>
      </c>
      <c r="V690" s="103" t="s">
        <v>7125</v>
      </c>
      <c r="W690" s="103" t="s">
        <v>7120</v>
      </c>
    </row>
    <row r="691" spans="1:23" ht="18.75" customHeight="1">
      <c r="A691" s="96">
        <v>1007</v>
      </c>
      <c r="B691" s="97" t="s">
        <v>99</v>
      </c>
      <c r="C691" s="103" t="s">
        <v>7126</v>
      </c>
      <c r="D691" s="103" t="s">
        <v>7126</v>
      </c>
      <c r="E691" s="100" t="s">
        <v>7127</v>
      </c>
      <c r="F691" s="103" t="s">
        <v>7128</v>
      </c>
      <c r="G691" s="97" t="s">
        <v>39</v>
      </c>
      <c r="H691" s="100" t="s">
        <v>114</v>
      </c>
      <c r="I691" s="98"/>
      <c r="J691" s="100"/>
      <c r="K691" s="114" t="s">
        <v>7129</v>
      </c>
      <c r="L691" s="114" t="s">
        <v>7130</v>
      </c>
      <c r="M691" s="100"/>
      <c r="N691" s="103" t="s">
        <v>119</v>
      </c>
      <c r="O691" s="100"/>
      <c r="P691" s="103" t="s">
        <v>7131</v>
      </c>
      <c r="Q691" s="103">
        <v>49.916128299999997</v>
      </c>
      <c r="R691" s="103">
        <v>14.239549999999999</v>
      </c>
      <c r="S691" s="100" t="s">
        <v>7447</v>
      </c>
      <c r="T691" s="103" t="s">
        <v>71</v>
      </c>
      <c r="U691" s="103" t="s">
        <v>295</v>
      </c>
      <c r="V691" s="103" t="s">
        <v>296</v>
      </c>
      <c r="W691" s="103" t="s">
        <v>7127</v>
      </c>
    </row>
    <row r="692" spans="1:23" ht="15.75" customHeight="1">
      <c r="A692" s="96">
        <v>1009</v>
      </c>
      <c r="B692" s="97" t="s">
        <v>27</v>
      </c>
      <c r="C692" s="103" t="s">
        <v>7132</v>
      </c>
      <c r="D692" s="103" t="s">
        <v>7133</v>
      </c>
      <c r="E692" s="103" t="s">
        <v>1930</v>
      </c>
      <c r="F692" s="103" t="s">
        <v>7134</v>
      </c>
      <c r="G692" s="97" t="s">
        <v>39</v>
      </c>
      <c r="H692" s="100" t="s">
        <v>69</v>
      </c>
      <c r="I692" s="103">
        <v>2018</v>
      </c>
      <c r="J692" s="100"/>
      <c r="K692" s="114" t="s">
        <v>7135</v>
      </c>
      <c r="L692" s="114" t="s">
        <v>7136</v>
      </c>
      <c r="M692" s="100"/>
      <c r="N692" s="103" t="s">
        <v>7137</v>
      </c>
      <c r="O692" s="100"/>
      <c r="P692" s="103" t="s">
        <v>7138</v>
      </c>
      <c r="Q692" s="103">
        <v>50.324540599999999</v>
      </c>
      <c r="R692" s="103">
        <v>13.545631699999999</v>
      </c>
      <c r="S692" s="100" t="s">
        <v>7447</v>
      </c>
      <c r="T692" s="103" t="s">
        <v>353</v>
      </c>
      <c r="U692" s="103" t="s">
        <v>1023</v>
      </c>
      <c r="V692" s="103" t="s">
        <v>1930</v>
      </c>
      <c r="W692" s="103" t="s">
        <v>1930</v>
      </c>
    </row>
    <row r="693" spans="1:23" ht="15.75" customHeight="1">
      <c r="A693" s="96">
        <v>1016</v>
      </c>
      <c r="B693" s="97" t="s">
        <v>99</v>
      </c>
      <c r="C693" s="103" t="s">
        <v>7139</v>
      </c>
      <c r="D693" s="103" t="s">
        <v>7139</v>
      </c>
      <c r="E693" s="103" t="s">
        <v>7140</v>
      </c>
      <c r="F693" s="103" t="s">
        <v>7141</v>
      </c>
      <c r="G693" s="97" t="s">
        <v>39</v>
      </c>
      <c r="H693" s="100" t="s">
        <v>103</v>
      </c>
      <c r="I693" s="98"/>
      <c r="J693" s="114" t="s">
        <v>7142</v>
      </c>
      <c r="K693" s="114" t="s">
        <v>7143</v>
      </c>
      <c r="L693" s="96" t="s">
        <v>2655</v>
      </c>
      <c r="M693" s="100"/>
      <c r="N693" s="103" t="s">
        <v>2651</v>
      </c>
      <c r="O693" s="100"/>
      <c r="P693" s="103" t="s">
        <v>7144</v>
      </c>
      <c r="Q693" s="103">
        <v>49.59346</v>
      </c>
      <c r="R693" s="103">
        <v>17.227605000000001</v>
      </c>
      <c r="S693" s="100" t="s">
        <v>7447</v>
      </c>
      <c r="T693" s="103" t="s">
        <v>312</v>
      </c>
      <c r="U693" s="103" t="s">
        <v>1034</v>
      </c>
      <c r="V693" s="103" t="s">
        <v>1034</v>
      </c>
      <c r="W693" s="103" t="s">
        <v>1034</v>
      </c>
    </row>
    <row r="694" spans="1:23" ht="15.75" customHeight="1">
      <c r="A694" s="96">
        <v>1017</v>
      </c>
      <c r="B694" s="97" t="s">
        <v>27</v>
      </c>
      <c r="C694" s="103" t="s">
        <v>7145</v>
      </c>
      <c r="D694" s="103" t="s">
        <v>7146</v>
      </c>
      <c r="E694" s="103" t="s">
        <v>7147</v>
      </c>
      <c r="F694" s="103" t="s">
        <v>7148</v>
      </c>
      <c r="G694" s="97" t="s">
        <v>39</v>
      </c>
      <c r="H694" s="100" t="s">
        <v>69</v>
      </c>
      <c r="I694" s="103">
        <v>2018</v>
      </c>
      <c r="J694" s="100"/>
      <c r="K694" s="114" t="s">
        <v>7149</v>
      </c>
      <c r="L694" s="114" t="s">
        <v>7150</v>
      </c>
      <c r="M694" s="100"/>
      <c r="N694" s="103" t="s">
        <v>7145</v>
      </c>
      <c r="O694" s="100"/>
      <c r="P694" s="103" t="s">
        <v>7151</v>
      </c>
      <c r="Q694" s="103">
        <v>49.746198300000003</v>
      </c>
      <c r="R694" s="103">
        <v>16.2213247</v>
      </c>
      <c r="S694" s="100" t="s">
        <v>7447</v>
      </c>
      <c r="T694" s="103" t="s">
        <v>483</v>
      </c>
      <c r="U694" s="103" t="s">
        <v>1067</v>
      </c>
      <c r="V694" s="103" t="s">
        <v>1271</v>
      </c>
      <c r="W694" s="103" t="s">
        <v>7152</v>
      </c>
    </row>
    <row r="695" spans="1:23" ht="15.75" customHeight="1">
      <c r="A695" s="96">
        <v>1018</v>
      </c>
      <c r="B695" s="97" t="s">
        <v>99</v>
      </c>
      <c r="C695" s="103" t="s">
        <v>7153</v>
      </c>
      <c r="D695" s="103" t="s">
        <v>7154</v>
      </c>
      <c r="E695" s="103" t="s">
        <v>7155</v>
      </c>
      <c r="F695" s="103" t="s">
        <v>7156</v>
      </c>
      <c r="G695" s="97" t="s">
        <v>39</v>
      </c>
      <c r="H695" s="100" t="s">
        <v>114</v>
      </c>
      <c r="I695" s="98"/>
      <c r="J695" s="100"/>
      <c r="K695" s="114" t="s">
        <v>7157</v>
      </c>
      <c r="L695" s="114" t="s">
        <v>7158</v>
      </c>
      <c r="M695" s="100"/>
      <c r="N695" s="100"/>
      <c r="O695" s="100"/>
      <c r="P695" s="103" t="s">
        <v>7159</v>
      </c>
      <c r="Q695" s="103">
        <v>50.046877500000001</v>
      </c>
      <c r="R695" s="103">
        <v>14.8346097</v>
      </c>
      <c r="S695" s="100" t="s">
        <v>7447</v>
      </c>
      <c r="T695" s="103" t="s">
        <v>71</v>
      </c>
      <c r="U695" s="103" t="s">
        <v>1838</v>
      </c>
      <c r="V695" s="103" t="s">
        <v>884</v>
      </c>
      <c r="W695" s="103" t="s">
        <v>7155</v>
      </c>
    </row>
    <row r="696" spans="1:23" ht="15.75" customHeight="1">
      <c r="A696" s="96">
        <v>1019</v>
      </c>
      <c r="B696" s="97" t="s">
        <v>99</v>
      </c>
      <c r="C696" s="103" t="s">
        <v>7160</v>
      </c>
      <c r="D696" s="103" t="s">
        <v>7161</v>
      </c>
      <c r="E696" s="103" t="s">
        <v>7162</v>
      </c>
      <c r="F696" s="103" t="s">
        <v>7163</v>
      </c>
      <c r="G696" s="97" t="s">
        <v>39</v>
      </c>
      <c r="H696" s="100" t="s">
        <v>103</v>
      </c>
      <c r="I696" s="98"/>
      <c r="J696" s="100"/>
      <c r="K696" s="100"/>
      <c r="L696" s="96" t="s">
        <v>3714</v>
      </c>
      <c r="M696" s="100"/>
      <c r="N696" s="103" t="s">
        <v>3711</v>
      </c>
      <c r="O696" s="100"/>
      <c r="P696" s="103" t="s">
        <v>7164</v>
      </c>
      <c r="Q696" s="103">
        <v>49.647762800000002</v>
      </c>
      <c r="R696" s="103">
        <v>16.946971399999999</v>
      </c>
      <c r="S696" s="100" t="s">
        <v>7447</v>
      </c>
      <c r="T696" s="103" t="s">
        <v>312</v>
      </c>
      <c r="U696" s="103" t="s">
        <v>1034</v>
      </c>
      <c r="V696" s="103" t="s">
        <v>899</v>
      </c>
      <c r="W696" s="103" t="s">
        <v>7162</v>
      </c>
    </row>
    <row r="697" spans="1:23" ht="15.75" customHeight="1">
      <c r="A697" s="96">
        <v>1020</v>
      </c>
      <c r="B697" s="97" t="s">
        <v>99</v>
      </c>
      <c r="C697" s="103" t="s">
        <v>6921</v>
      </c>
      <c r="D697" s="103" t="s">
        <v>7165</v>
      </c>
      <c r="E697" s="103" t="s">
        <v>2400</v>
      </c>
      <c r="F697" s="103" t="s">
        <v>2401</v>
      </c>
      <c r="G697" s="97" t="s">
        <v>39</v>
      </c>
      <c r="H697" s="100" t="s">
        <v>103</v>
      </c>
      <c r="I697" s="98"/>
      <c r="J697" s="114" t="s">
        <v>7166</v>
      </c>
      <c r="K697" s="100"/>
      <c r="L697" s="96" t="s">
        <v>2402</v>
      </c>
      <c r="M697" s="100"/>
      <c r="N697" s="103" t="s">
        <v>2688</v>
      </c>
      <c r="O697" s="114" t="s">
        <v>7167</v>
      </c>
      <c r="P697" s="103" t="s">
        <v>7168</v>
      </c>
      <c r="Q697" s="103">
        <v>49.854461399999998</v>
      </c>
      <c r="R697" s="103">
        <v>18.540300800000001</v>
      </c>
      <c r="S697" s="100" t="s">
        <v>52</v>
      </c>
      <c r="T697" s="103" t="s">
        <v>121</v>
      </c>
      <c r="U697" s="103" t="s">
        <v>132</v>
      </c>
      <c r="V697" s="103" t="s">
        <v>132</v>
      </c>
      <c r="W697" s="103" t="s">
        <v>132</v>
      </c>
    </row>
    <row r="698" spans="1:23" ht="15.75" customHeight="1">
      <c r="A698" s="96">
        <v>1021</v>
      </c>
      <c r="B698" s="97" t="s">
        <v>99</v>
      </c>
      <c r="C698" s="103" t="s">
        <v>7169</v>
      </c>
      <c r="D698" s="103" t="s">
        <v>7169</v>
      </c>
      <c r="E698" s="103" t="s">
        <v>2249</v>
      </c>
      <c r="F698" s="103" t="s">
        <v>7170</v>
      </c>
      <c r="G698" s="97" t="s">
        <v>39</v>
      </c>
      <c r="H698" s="100" t="s">
        <v>114</v>
      </c>
      <c r="I698" s="98"/>
      <c r="J698" s="100"/>
      <c r="K698" s="114" t="s">
        <v>7171</v>
      </c>
      <c r="L698" s="114" t="s">
        <v>7172</v>
      </c>
      <c r="M698" s="100"/>
      <c r="N698" s="103" t="s">
        <v>7173</v>
      </c>
      <c r="O698" s="100"/>
      <c r="P698" s="103" t="s">
        <v>7174</v>
      </c>
      <c r="Q698" s="103">
        <v>49.774986400000003</v>
      </c>
      <c r="R698" s="103">
        <v>18.451639199999999</v>
      </c>
      <c r="S698" s="100" t="s">
        <v>7447</v>
      </c>
      <c r="T698" s="103" t="s">
        <v>121</v>
      </c>
      <c r="U698" s="103" t="s">
        <v>132</v>
      </c>
      <c r="V698" s="103" t="s">
        <v>2316</v>
      </c>
      <c r="W698" s="103" t="s">
        <v>2316</v>
      </c>
    </row>
    <row r="699" spans="1:23" ht="15.75" customHeight="1">
      <c r="A699" s="96">
        <v>1022</v>
      </c>
      <c r="B699" s="97" t="s">
        <v>99</v>
      </c>
      <c r="C699" s="103" t="s">
        <v>7175</v>
      </c>
      <c r="D699" s="103" t="s">
        <v>7175</v>
      </c>
      <c r="E699" s="103" t="s">
        <v>1608</v>
      </c>
      <c r="F699" s="103" t="s">
        <v>7176</v>
      </c>
      <c r="G699" s="97" t="s">
        <v>39</v>
      </c>
      <c r="H699" s="100" t="s">
        <v>103</v>
      </c>
      <c r="I699" s="98"/>
      <c r="J699" s="100"/>
      <c r="K699" s="114" t="s">
        <v>7177</v>
      </c>
      <c r="L699" s="114" t="s">
        <v>7178</v>
      </c>
      <c r="M699" s="100"/>
      <c r="N699" s="103" t="s">
        <v>7179</v>
      </c>
      <c r="O699" s="100"/>
      <c r="P699" s="103" t="s">
        <v>7180</v>
      </c>
      <c r="Q699" s="103">
        <v>50.5866975</v>
      </c>
      <c r="R699" s="103">
        <v>15.1553267</v>
      </c>
      <c r="S699" s="100" t="s">
        <v>52</v>
      </c>
      <c r="T699" s="103" t="s">
        <v>67</v>
      </c>
      <c r="U699" s="103" t="s">
        <v>1240</v>
      </c>
      <c r="V699" s="103" t="s">
        <v>1608</v>
      </c>
      <c r="W699" s="103" t="s">
        <v>1608</v>
      </c>
    </row>
    <row r="700" spans="1:23">
      <c r="A700" s="96">
        <v>1023</v>
      </c>
      <c r="B700" s="97" t="s">
        <v>99</v>
      </c>
      <c r="C700" s="103" t="s">
        <v>7181</v>
      </c>
      <c r="D700" s="103" t="s">
        <v>7181</v>
      </c>
      <c r="E700" s="103" t="s">
        <v>111</v>
      </c>
      <c r="F700" s="103" t="s">
        <v>7182</v>
      </c>
      <c r="G700" s="97" t="s">
        <v>39</v>
      </c>
      <c r="H700" s="100" t="s">
        <v>114</v>
      </c>
      <c r="I700" s="103"/>
      <c r="J700" s="114" t="s">
        <v>7183</v>
      </c>
      <c r="K700" s="114" t="s">
        <v>7184</v>
      </c>
      <c r="L700" s="114" t="s">
        <v>7185</v>
      </c>
      <c r="M700" s="103" t="s">
        <v>7186</v>
      </c>
      <c r="N700" s="103" t="s">
        <v>119</v>
      </c>
      <c r="O700" s="114" t="s">
        <v>7187</v>
      </c>
      <c r="P700" s="103" t="s">
        <v>7188</v>
      </c>
      <c r="Q700" s="103">
        <v>49.834395299999997</v>
      </c>
      <c r="R700" s="103">
        <v>18.1670531</v>
      </c>
      <c r="S700" s="100" t="s">
        <v>52</v>
      </c>
      <c r="T700" s="103" t="s">
        <v>121</v>
      </c>
      <c r="U700" s="103" t="s">
        <v>122</v>
      </c>
      <c r="V700" s="103" t="s">
        <v>123</v>
      </c>
      <c r="W700" s="103" t="s">
        <v>123</v>
      </c>
    </row>
    <row r="701" spans="1:23" ht="15.75" customHeight="1">
      <c r="A701" s="96">
        <v>1024</v>
      </c>
      <c r="B701" s="97" t="s">
        <v>27</v>
      </c>
      <c r="C701" s="103" t="s">
        <v>7189</v>
      </c>
      <c r="D701" s="103" t="s">
        <v>7190</v>
      </c>
      <c r="E701" s="103" t="s">
        <v>7191</v>
      </c>
      <c r="F701" s="103" t="s">
        <v>7192</v>
      </c>
      <c r="G701" s="97" t="s">
        <v>39</v>
      </c>
      <c r="H701" s="100" t="s">
        <v>40</v>
      </c>
      <c r="I701" s="103">
        <v>2018</v>
      </c>
      <c r="J701" s="114" t="s">
        <v>7193</v>
      </c>
      <c r="K701" s="114" t="s">
        <v>7194</v>
      </c>
      <c r="L701" s="114" t="s">
        <v>7195</v>
      </c>
      <c r="M701" s="100"/>
      <c r="N701" s="103" t="s">
        <v>7196</v>
      </c>
      <c r="O701" s="100"/>
      <c r="P701" s="103" t="s">
        <v>7197</v>
      </c>
      <c r="Q701" s="103">
        <v>50.214402800000002</v>
      </c>
      <c r="R701" s="103">
        <v>15.7480203</v>
      </c>
      <c r="S701" s="100" t="s">
        <v>52</v>
      </c>
      <c r="T701" s="103" t="s">
        <v>207</v>
      </c>
      <c r="U701" s="103" t="s">
        <v>208</v>
      </c>
      <c r="V701" s="103" t="s">
        <v>208</v>
      </c>
      <c r="W701" s="103" t="s">
        <v>7191</v>
      </c>
    </row>
    <row r="702" spans="1:23" ht="15.75" customHeight="1">
      <c r="A702" s="96">
        <v>1025</v>
      </c>
      <c r="B702" s="97" t="s">
        <v>27</v>
      </c>
      <c r="C702" s="103" t="s">
        <v>1608</v>
      </c>
      <c r="D702" s="103" t="s">
        <v>7198</v>
      </c>
      <c r="E702" s="103" t="s">
        <v>1608</v>
      </c>
      <c r="F702" s="103" t="s">
        <v>7199</v>
      </c>
      <c r="G702" s="97" t="s">
        <v>39</v>
      </c>
      <c r="H702" s="100" t="s">
        <v>69</v>
      </c>
      <c r="I702" s="103">
        <v>2018</v>
      </c>
      <c r="J702" s="100"/>
      <c r="K702" s="100"/>
      <c r="L702" s="114" t="s">
        <v>7178</v>
      </c>
      <c r="M702" s="100"/>
      <c r="N702" s="103" t="s">
        <v>7179</v>
      </c>
      <c r="O702" s="100"/>
      <c r="P702" s="103" t="s">
        <v>7200</v>
      </c>
      <c r="Q702" s="103">
        <v>50.5921503</v>
      </c>
      <c r="R702" s="103">
        <v>15.1570894</v>
      </c>
      <c r="S702" s="100" t="s">
        <v>7447</v>
      </c>
      <c r="T702" s="103" t="s">
        <v>67</v>
      </c>
      <c r="U702" s="103" t="s">
        <v>1240</v>
      </c>
      <c r="V702" s="103" t="s">
        <v>1608</v>
      </c>
      <c r="W702" s="103" t="s">
        <v>1608</v>
      </c>
    </row>
    <row r="703" spans="1:23" ht="15.75" customHeight="1">
      <c r="A703" s="96">
        <v>1026</v>
      </c>
      <c r="B703" s="97" t="s">
        <v>27</v>
      </c>
      <c r="C703" s="103" t="s">
        <v>7201</v>
      </c>
      <c r="D703" s="103" t="s">
        <v>7202</v>
      </c>
      <c r="E703" s="103" t="s">
        <v>6914</v>
      </c>
      <c r="F703" s="103" t="s">
        <v>7203</v>
      </c>
      <c r="G703" s="97" t="s">
        <v>39</v>
      </c>
      <c r="H703" s="100" t="s">
        <v>69</v>
      </c>
      <c r="I703" s="103">
        <v>2018</v>
      </c>
      <c r="J703" s="114" t="s">
        <v>7204</v>
      </c>
      <c r="K703" s="114" t="s">
        <v>7205</v>
      </c>
      <c r="L703" s="114" t="s">
        <v>7206</v>
      </c>
      <c r="M703" s="100"/>
      <c r="N703" s="100"/>
      <c r="O703" s="100"/>
      <c r="P703" s="103" t="s">
        <v>7207</v>
      </c>
      <c r="Q703" s="103">
        <v>50.469517799999998</v>
      </c>
      <c r="R703" s="103">
        <v>14.9428556</v>
      </c>
      <c r="S703" s="100" t="s">
        <v>52</v>
      </c>
      <c r="T703" s="103" t="s">
        <v>71</v>
      </c>
      <c r="U703" s="103" t="s">
        <v>810</v>
      </c>
      <c r="V703" s="103" t="s">
        <v>810</v>
      </c>
      <c r="W703" s="103" t="s">
        <v>6914</v>
      </c>
    </row>
    <row r="704" spans="1:23" ht="15.75" customHeight="1">
      <c r="A704" s="96">
        <v>1027</v>
      </c>
      <c r="B704" s="97" t="s">
        <v>27</v>
      </c>
      <c r="C704" s="103" t="s">
        <v>7208</v>
      </c>
      <c r="D704" s="103" t="s">
        <v>7209</v>
      </c>
      <c r="E704" s="103" t="s">
        <v>7210</v>
      </c>
      <c r="F704" s="103" t="s">
        <v>7211</v>
      </c>
      <c r="G704" s="97" t="s">
        <v>39</v>
      </c>
      <c r="H704" s="100" t="s">
        <v>69</v>
      </c>
      <c r="I704" s="103">
        <v>2018</v>
      </c>
      <c r="J704" s="114" t="s">
        <v>7212</v>
      </c>
      <c r="K704" s="114" t="s">
        <v>7213</v>
      </c>
      <c r="L704" s="114" t="s">
        <v>7214</v>
      </c>
      <c r="M704" s="100"/>
      <c r="N704" s="103" t="s">
        <v>7215</v>
      </c>
      <c r="O704" s="100"/>
      <c r="P704" s="103" t="s">
        <v>7216</v>
      </c>
      <c r="Q704" s="103">
        <v>50.3215711</v>
      </c>
      <c r="R704" s="103">
        <v>12.9459961</v>
      </c>
      <c r="S704" s="100" t="s">
        <v>7447</v>
      </c>
      <c r="T704" s="103" t="s">
        <v>573</v>
      </c>
      <c r="U704" s="103" t="s">
        <v>574</v>
      </c>
      <c r="V704" s="103" t="s">
        <v>575</v>
      </c>
      <c r="W704" s="103" t="s">
        <v>575</v>
      </c>
    </row>
    <row r="705" spans="1:23" ht="15.75" customHeight="1">
      <c r="A705" s="96">
        <v>1028</v>
      </c>
      <c r="B705" s="97" t="s">
        <v>27</v>
      </c>
      <c r="C705" s="103" t="s">
        <v>7217</v>
      </c>
      <c r="D705" s="103" t="s">
        <v>7218</v>
      </c>
      <c r="E705" s="103" t="s">
        <v>7219</v>
      </c>
      <c r="F705" s="103" t="s">
        <v>7220</v>
      </c>
      <c r="G705" s="97" t="s">
        <v>39</v>
      </c>
      <c r="H705" s="100" t="s">
        <v>69</v>
      </c>
      <c r="I705" s="103">
        <v>2018</v>
      </c>
      <c r="J705" s="100"/>
      <c r="K705" s="100"/>
      <c r="L705" s="100"/>
      <c r="M705" s="100"/>
      <c r="N705" s="100"/>
      <c r="O705" s="100"/>
      <c r="P705" s="103" t="s">
        <v>7221</v>
      </c>
      <c r="Q705" s="103">
        <v>49.5308736</v>
      </c>
      <c r="R705" s="103">
        <v>17.772892500000001</v>
      </c>
      <c r="S705" s="100" t="s">
        <v>7447</v>
      </c>
      <c r="T705" s="103" t="s">
        <v>312</v>
      </c>
      <c r="U705" s="103" t="s">
        <v>1153</v>
      </c>
      <c r="V705" s="103" t="s">
        <v>6933</v>
      </c>
      <c r="W705" s="103" t="s">
        <v>7219</v>
      </c>
    </row>
    <row r="706" spans="1:23" ht="15.75" customHeight="1">
      <c r="A706" s="96">
        <v>1029</v>
      </c>
      <c r="B706" s="97" t="s">
        <v>27</v>
      </c>
      <c r="C706" s="103" t="s">
        <v>7222</v>
      </c>
      <c r="D706" s="103" t="s">
        <v>7223</v>
      </c>
      <c r="E706" s="103" t="s">
        <v>7224</v>
      </c>
      <c r="F706" s="103" t="s">
        <v>7225</v>
      </c>
      <c r="G706" s="97" t="s">
        <v>39</v>
      </c>
      <c r="H706" s="100" t="s">
        <v>40</v>
      </c>
      <c r="I706" s="103">
        <v>2018</v>
      </c>
      <c r="J706" s="114" t="s">
        <v>7226</v>
      </c>
      <c r="K706" s="114" t="s">
        <v>7227</v>
      </c>
      <c r="L706" s="114" t="s">
        <v>7228</v>
      </c>
      <c r="M706" s="100"/>
      <c r="N706" s="100"/>
      <c r="O706" s="100"/>
      <c r="P706" s="103" t="s">
        <v>7229</v>
      </c>
      <c r="Q706" s="103">
        <v>49.701017800000002</v>
      </c>
      <c r="R706" s="103">
        <v>14.9016786</v>
      </c>
      <c r="S706" s="100" t="s">
        <v>7447</v>
      </c>
      <c r="T706" s="103" t="s">
        <v>71</v>
      </c>
      <c r="U706" s="103" t="s">
        <v>400</v>
      </c>
      <c r="V706" s="103" t="s">
        <v>7224</v>
      </c>
      <c r="W706" s="103" t="s">
        <v>7224</v>
      </c>
    </row>
    <row r="707" spans="1:23" ht="15.75" customHeight="1">
      <c r="A707" s="96">
        <v>1039</v>
      </c>
      <c r="B707" s="97" t="s">
        <v>27</v>
      </c>
      <c r="C707" s="103" t="s">
        <v>7230</v>
      </c>
      <c r="D707" s="103" t="s">
        <v>7231</v>
      </c>
      <c r="E707" s="103" t="s">
        <v>1018</v>
      </c>
      <c r="F707" s="103" t="s">
        <v>7232</v>
      </c>
      <c r="G707" s="97" t="s">
        <v>39</v>
      </c>
      <c r="H707" s="100" t="s">
        <v>40</v>
      </c>
      <c r="I707" s="103">
        <v>2018</v>
      </c>
      <c r="J707" s="114" t="s">
        <v>7233</v>
      </c>
      <c r="K707" s="114" t="s">
        <v>7234</v>
      </c>
      <c r="L707" s="114" t="s">
        <v>7235</v>
      </c>
      <c r="M707" s="100"/>
      <c r="N707" s="103" t="s">
        <v>7236</v>
      </c>
      <c r="O707" s="100"/>
      <c r="P707" s="103" t="s">
        <v>7237</v>
      </c>
      <c r="Q707" s="103">
        <v>49.195200800000002</v>
      </c>
      <c r="R707" s="103">
        <v>16.607111700000001</v>
      </c>
      <c r="S707" s="100" t="s">
        <v>7447</v>
      </c>
      <c r="T707" s="103" t="s">
        <v>325</v>
      </c>
      <c r="U707" s="103" t="s">
        <v>1017</v>
      </c>
      <c r="V707" s="103" t="s">
        <v>1018</v>
      </c>
      <c r="W707" s="103" t="s">
        <v>1018</v>
      </c>
    </row>
    <row r="708" spans="1:23" ht="15.75" customHeight="1">
      <c r="A708" s="96">
        <v>1040</v>
      </c>
      <c r="B708" s="97" t="s">
        <v>27</v>
      </c>
      <c r="C708" s="103" t="s">
        <v>7238</v>
      </c>
      <c r="D708" s="103" t="s">
        <v>7239</v>
      </c>
      <c r="E708" s="103" t="s">
        <v>7238</v>
      </c>
      <c r="F708" s="103" t="s">
        <v>7240</v>
      </c>
      <c r="G708" s="97" t="s">
        <v>39</v>
      </c>
      <c r="H708" s="100" t="s">
        <v>69</v>
      </c>
      <c r="I708" s="103">
        <v>2018</v>
      </c>
      <c r="J708" s="114" t="s">
        <v>7241</v>
      </c>
      <c r="K708" s="100"/>
      <c r="L708" s="114" t="s">
        <v>7242</v>
      </c>
      <c r="M708" s="103" t="s">
        <v>7243</v>
      </c>
      <c r="N708" s="100"/>
      <c r="O708" s="100"/>
      <c r="P708" s="103" t="s">
        <v>7244</v>
      </c>
      <c r="Q708" s="103">
        <v>49.7838864</v>
      </c>
      <c r="R708" s="103">
        <v>18.373957499999999</v>
      </c>
      <c r="S708" s="100" t="s">
        <v>52</v>
      </c>
      <c r="T708" s="103" t="s">
        <v>121</v>
      </c>
      <c r="U708" s="103" t="s">
        <v>122</v>
      </c>
      <c r="V708" s="103" t="s">
        <v>123</v>
      </c>
      <c r="W708" s="103" t="s">
        <v>7238</v>
      </c>
    </row>
    <row r="709" spans="1:23" ht="15.75" customHeight="1">
      <c r="A709" s="96">
        <v>1041</v>
      </c>
      <c r="B709" s="97" t="s">
        <v>27</v>
      </c>
      <c r="C709" s="103" t="s">
        <v>7245</v>
      </c>
      <c r="D709" s="103" t="s">
        <v>7246</v>
      </c>
      <c r="E709" s="103" t="s">
        <v>3935</v>
      </c>
      <c r="F709" s="103" t="s">
        <v>7247</v>
      </c>
      <c r="G709" s="97" t="s">
        <v>39</v>
      </c>
      <c r="H709" s="100" t="s">
        <v>60</v>
      </c>
      <c r="I709" s="103">
        <v>2018</v>
      </c>
      <c r="J709" s="114" t="s">
        <v>7248</v>
      </c>
      <c r="K709" s="114" t="str">
        <f>HYPERLINK("https://www.facebook.com/Žíznivý-dromedár-486524595165489","https://www.facebook.com/Žíznivý-dromedár-486524595165489")</f>
        <v>https://www.facebook.com/Žíznivý-dromedár-486524595165489</v>
      </c>
      <c r="L709" s="114" t="s">
        <v>7249</v>
      </c>
      <c r="M709" s="100"/>
      <c r="N709" s="103" t="s">
        <v>7245</v>
      </c>
      <c r="O709" s="114" t="s">
        <v>7250</v>
      </c>
      <c r="P709" s="103" t="s">
        <v>7251</v>
      </c>
      <c r="Q709" s="103">
        <v>49.779901700000003</v>
      </c>
      <c r="R709" s="103">
        <v>18.2570953</v>
      </c>
      <c r="S709" s="100" t="s">
        <v>52</v>
      </c>
      <c r="T709" s="103" t="s">
        <v>121</v>
      </c>
      <c r="U709" s="103" t="s">
        <v>122</v>
      </c>
      <c r="V709" s="103" t="s">
        <v>123</v>
      </c>
      <c r="W709" s="103" t="s">
        <v>123</v>
      </c>
    </row>
    <row r="710" spans="1:23" ht="15.75" customHeight="1">
      <c r="A710" s="96">
        <v>1045</v>
      </c>
      <c r="B710" s="97" t="s">
        <v>27</v>
      </c>
      <c r="C710" s="103" t="s">
        <v>7252</v>
      </c>
      <c r="D710" s="103" t="s">
        <v>7253</v>
      </c>
      <c r="E710" s="103" t="s">
        <v>7254</v>
      </c>
      <c r="F710" s="103" t="s">
        <v>7255</v>
      </c>
      <c r="G710" s="97" t="s">
        <v>39</v>
      </c>
      <c r="H710" s="100" t="s">
        <v>60</v>
      </c>
      <c r="I710" s="103">
        <v>2018</v>
      </c>
      <c r="J710" s="114" t="s">
        <v>7256</v>
      </c>
      <c r="K710" s="114" t="s">
        <v>7257</v>
      </c>
      <c r="L710" s="114" t="s">
        <v>7258</v>
      </c>
      <c r="M710" s="100"/>
      <c r="N710" s="103" t="s">
        <v>7259</v>
      </c>
      <c r="O710" s="100"/>
      <c r="P710" s="103" t="s">
        <v>7260</v>
      </c>
      <c r="Q710" s="103">
        <v>49.487176900000001</v>
      </c>
      <c r="R710" s="103">
        <v>13.5821497</v>
      </c>
      <c r="S710" s="100" t="s">
        <v>7447</v>
      </c>
      <c r="T710" s="103" t="s">
        <v>217</v>
      </c>
      <c r="U710" s="103" t="s">
        <v>399</v>
      </c>
      <c r="V710" s="103" t="s">
        <v>7254</v>
      </c>
      <c r="W710" s="103" t="s">
        <v>7254</v>
      </c>
    </row>
    <row r="711" spans="1:23" ht="15.75" customHeight="1">
      <c r="A711" s="96">
        <v>1046</v>
      </c>
      <c r="B711" s="97" t="s">
        <v>99</v>
      </c>
      <c r="C711" s="103" t="s">
        <v>7261</v>
      </c>
      <c r="D711" s="103" t="s">
        <v>7262</v>
      </c>
      <c r="E711" s="103" t="s">
        <v>7263</v>
      </c>
      <c r="F711" s="103" t="s">
        <v>7264</v>
      </c>
      <c r="G711" s="97" t="s">
        <v>39</v>
      </c>
      <c r="H711" s="100" t="s">
        <v>103</v>
      </c>
      <c r="I711" s="98"/>
      <c r="J711" s="100"/>
      <c r="K711" s="114" t="s">
        <v>7265</v>
      </c>
      <c r="L711" s="96" t="s">
        <v>1804</v>
      </c>
      <c r="M711" s="100"/>
      <c r="N711" s="103" t="s">
        <v>1800</v>
      </c>
      <c r="O711" s="100"/>
      <c r="P711" s="103" t="s">
        <v>7266</v>
      </c>
      <c r="Q711" s="103">
        <v>49.741529200000002</v>
      </c>
      <c r="R711" s="103">
        <v>13.3921186</v>
      </c>
      <c r="S711" s="100" t="s">
        <v>7447</v>
      </c>
      <c r="T711" s="103" t="s">
        <v>217</v>
      </c>
      <c r="U711" s="103" t="s">
        <v>1139</v>
      </c>
      <c r="V711" s="103" t="s">
        <v>1140</v>
      </c>
      <c r="W711" s="103" t="s">
        <v>1140</v>
      </c>
    </row>
    <row r="712" spans="1:23" ht="15.75" customHeight="1">
      <c r="A712" s="96">
        <v>1047</v>
      </c>
      <c r="B712" s="97" t="s">
        <v>99</v>
      </c>
      <c r="C712" s="103" t="s">
        <v>7267</v>
      </c>
      <c r="D712" s="103" t="s">
        <v>7268</v>
      </c>
      <c r="E712" s="100" t="s">
        <v>7269</v>
      </c>
      <c r="F712" s="103" t="s">
        <v>7270</v>
      </c>
      <c r="G712" s="97" t="s">
        <v>39</v>
      </c>
      <c r="H712" s="100" t="s">
        <v>103</v>
      </c>
      <c r="I712" s="98"/>
      <c r="J712" s="114" t="s">
        <v>7271</v>
      </c>
      <c r="K712" s="114" t="s">
        <v>7272</v>
      </c>
      <c r="L712" s="96" t="s">
        <v>342</v>
      </c>
      <c r="M712" s="100"/>
      <c r="N712" s="103" t="s">
        <v>339</v>
      </c>
      <c r="O712" s="100"/>
      <c r="P712" s="103" t="s">
        <v>7273</v>
      </c>
      <c r="Q712" s="103">
        <v>49.216779199999998</v>
      </c>
      <c r="R712" s="103">
        <v>16.624398100000001</v>
      </c>
      <c r="S712" s="100" t="s">
        <v>7447</v>
      </c>
      <c r="T712" s="103" t="s">
        <v>325</v>
      </c>
      <c r="U712" s="103" t="s">
        <v>1017</v>
      </c>
      <c r="V712" s="103" t="s">
        <v>1018</v>
      </c>
      <c r="W712" s="103" t="s">
        <v>1018</v>
      </c>
    </row>
    <row r="713" spans="1:23" ht="15.75" customHeight="1">
      <c r="A713" s="96">
        <v>1048</v>
      </c>
      <c r="B713" s="97" t="s">
        <v>99</v>
      </c>
      <c r="C713" s="103" t="s">
        <v>7274</v>
      </c>
      <c r="D713" s="103" t="s">
        <v>7275</v>
      </c>
      <c r="E713" s="100" t="s">
        <v>7276</v>
      </c>
      <c r="F713" s="103" t="s">
        <v>7277</v>
      </c>
      <c r="G713" s="97" t="s">
        <v>39</v>
      </c>
      <c r="H713" s="100" t="s">
        <v>103</v>
      </c>
      <c r="I713" s="98"/>
      <c r="J713" s="114" t="s">
        <v>7278</v>
      </c>
      <c r="K713" s="114" t="s">
        <v>7279</v>
      </c>
      <c r="L713" s="96" t="s">
        <v>342</v>
      </c>
      <c r="M713" s="100"/>
      <c r="N713" s="103" t="s">
        <v>339</v>
      </c>
      <c r="O713" s="100"/>
      <c r="P713" s="103" t="s">
        <v>7280</v>
      </c>
      <c r="Q713" s="103">
        <v>49.282976900000001</v>
      </c>
      <c r="R713" s="103">
        <v>16.564315300000001</v>
      </c>
      <c r="S713" s="100" t="s">
        <v>7447</v>
      </c>
      <c r="T713" s="103" t="s">
        <v>325</v>
      </c>
      <c r="U713" s="103" t="s">
        <v>952</v>
      </c>
      <c r="V713" s="103" t="s">
        <v>7281</v>
      </c>
      <c r="W713" s="103" t="s">
        <v>7276</v>
      </c>
    </row>
    <row r="714" spans="1:23" ht="15.75" customHeight="1">
      <c r="A714" s="96">
        <v>1049</v>
      </c>
      <c r="B714" s="97" t="s">
        <v>27</v>
      </c>
      <c r="C714" s="103" t="s">
        <v>7282</v>
      </c>
      <c r="D714" s="103" t="s">
        <v>7283</v>
      </c>
      <c r="E714" s="103" t="s">
        <v>7284</v>
      </c>
      <c r="F714" s="103" t="s">
        <v>7285</v>
      </c>
      <c r="G714" s="97" t="s">
        <v>39</v>
      </c>
      <c r="H714" s="100" t="s">
        <v>69</v>
      </c>
      <c r="I714" s="103">
        <v>2018</v>
      </c>
      <c r="J714" s="114" t="s">
        <v>7286</v>
      </c>
      <c r="K714" s="114" t="s">
        <v>7287</v>
      </c>
      <c r="L714" s="114" t="s">
        <v>7288</v>
      </c>
      <c r="M714" s="100"/>
      <c r="N714" s="103" t="s">
        <v>7289</v>
      </c>
      <c r="O714" s="100"/>
      <c r="P714" s="103" t="s">
        <v>7290</v>
      </c>
      <c r="Q714" s="103">
        <v>49.2563222</v>
      </c>
      <c r="R714" s="100">
        <v>16.513349999999999</v>
      </c>
      <c r="S714" s="100" t="s">
        <v>7447</v>
      </c>
      <c r="T714" s="103" t="s">
        <v>325</v>
      </c>
      <c r="U714" s="103" t="s">
        <v>952</v>
      </c>
      <c r="V714" s="103" t="s">
        <v>7281</v>
      </c>
      <c r="W714" s="103" t="s">
        <v>7284</v>
      </c>
    </row>
    <row r="715" spans="1:23" ht="15.75" customHeight="1">
      <c r="A715" s="96">
        <v>1050</v>
      </c>
      <c r="B715" s="97" t="s">
        <v>27</v>
      </c>
      <c r="C715" s="103" t="s">
        <v>7291</v>
      </c>
      <c r="D715" s="103" t="s">
        <v>7292</v>
      </c>
      <c r="E715" s="100" t="s">
        <v>7293</v>
      </c>
      <c r="F715" s="103" t="s">
        <v>7294</v>
      </c>
      <c r="G715" s="97" t="s">
        <v>39</v>
      </c>
      <c r="H715" s="100" t="s">
        <v>69</v>
      </c>
      <c r="I715" s="103">
        <v>2018</v>
      </c>
      <c r="J715" s="100"/>
      <c r="K715" s="100"/>
      <c r="L715" s="114" t="s">
        <v>7295</v>
      </c>
      <c r="M715" s="100"/>
      <c r="N715" s="103" t="s">
        <v>7296</v>
      </c>
      <c r="O715" s="100"/>
      <c r="P715" s="103" t="s">
        <v>7297</v>
      </c>
      <c r="Q715" s="103">
        <v>50.026248099999997</v>
      </c>
      <c r="R715" s="103">
        <v>14.219675799999999</v>
      </c>
      <c r="S715" s="100" t="s">
        <v>7447</v>
      </c>
      <c r="T715" s="103" t="s">
        <v>71</v>
      </c>
      <c r="U715" s="103" t="s">
        <v>295</v>
      </c>
      <c r="V715" s="103" t="s">
        <v>296</v>
      </c>
      <c r="W715" s="103" t="s">
        <v>7293</v>
      </c>
    </row>
    <row r="716" spans="1:23" ht="15.75" customHeight="1">
      <c r="A716" s="96">
        <v>1052</v>
      </c>
      <c r="B716" s="97" t="s">
        <v>27</v>
      </c>
      <c r="C716" s="103" t="s">
        <v>6927</v>
      </c>
      <c r="D716" s="103" t="s">
        <v>4158</v>
      </c>
      <c r="E716" s="103" t="s">
        <v>4158</v>
      </c>
      <c r="F716" s="103" t="s">
        <v>7298</v>
      </c>
      <c r="G716" s="97" t="s">
        <v>39</v>
      </c>
      <c r="H716" s="100" t="s">
        <v>40</v>
      </c>
      <c r="I716" s="103">
        <v>2018</v>
      </c>
      <c r="J716" s="114" t="s">
        <v>7299</v>
      </c>
      <c r="K716" s="114" t="s">
        <v>7300</v>
      </c>
      <c r="L716" s="114" t="s">
        <v>7301</v>
      </c>
      <c r="M716" s="103" t="s">
        <v>7302</v>
      </c>
      <c r="N716" s="103" t="s">
        <v>6927</v>
      </c>
      <c r="O716" s="100"/>
      <c r="P716" s="103" t="s">
        <v>7303</v>
      </c>
      <c r="Q716" s="103">
        <v>50.091936400000002</v>
      </c>
      <c r="R716" s="103">
        <v>14.4576083</v>
      </c>
      <c r="S716" s="100" t="s">
        <v>7447</v>
      </c>
      <c r="T716" s="103" t="s">
        <v>58</v>
      </c>
      <c r="U716" s="103" t="s">
        <v>58</v>
      </c>
      <c r="V716" s="103" t="s">
        <v>58</v>
      </c>
      <c r="W716" s="103" t="s">
        <v>59</v>
      </c>
    </row>
    <row r="717" spans="1:23" ht="15.75" customHeight="1">
      <c r="A717" s="96">
        <v>1053</v>
      </c>
      <c r="B717" s="97" t="s">
        <v>27</v>
      </c>
      <c r="C717" s="103" t="s">
        <v>7304</v>
      </c>
      <c r="D717" s="103" t="s">
        <v>4158</v>
      </c>
      <c r="E717" s="103" t="s">
        <v>4158</v>
      </c>
      <c r="F717" s="103" t="s">
        <v>7305</v>
      </c>
      <c r="G717" s="97" t="s">
        <v>39</v>
      </c>
      <c r="H717" s="100" t="s">
        <v>60</v>
      </c>
      <c r="I717" s="103">
        <v>2018</v>
      </c>
      <c r="J717" s="114" t="s">
        <v>7306</v>
      </c>
      <c r="K717" s="114" t="s">
        <v>7307</v>
      </c>
      <c r="L717" s="114" t="s">
        <v>7308</v>
      </c>
      <c r="M717" s="103" t="s">
        <v>7309</v>
      </c>
      <c r="N717" s="103" t="s">
        <v>7310</v>
      </c>
      <c r="O717" s="100"/>
      <c r="P717" s="103" t="s">
        <v>7311</v>
      </c>
      <c r="Q717" s="103">
        <v>50.0934575</v>
      </c>
      <c r="R717" s="103">
        <v>14.4468578</v>
      </c>
      <c r="S717" s="100" t="s">
        <v>7447</v>
      </c>
      <c r="T717" s="103" t="s">
        <v>58</v>
      </c>
      <c r="U717" s="103" t="s">
        <v>58</v>
      </c>
      <c r="V717" s="103" t="s">
        <v>58</v>
      </c>
      <c r="W717" s="103" t="s">
        <v>59</v>
      </c>
    </row>
    <row r="718" spans="1:23" ht="15.75" customHeight="1">
      <c r="A718" s="96">
        <v>1054</v>
      </c>
      <c r="B718" s="97" t="s">
        <v>27</v>
      </c>
      <c r="C718" s="103" t="s">
        <v>7312</v>
      </c>
      <c r="D718" s="103" t="s">
        <v>7313</v>
      </c>
      <c r="E718" s="103" t="s">
        <v>674</v>
      </c>
      <c r="F718" s="103" t="s">
        <v>7314</v>
      </c>
      <c r="G718" s="97" t="s">
        <v>39</v>
      </c>
      <c r="H718" s="100" t="s">
        <v>69</v>
      </c>
      <c r="I718" s="103">
        <v>2018</v>
      </c>
      <c r="J718" s="114" t="s">
        <v>7315</v>
      </c>
      <c r="K718" s="114" t="s">
        <v>7316</v>
      </c>
      <c r="L718" s="114" t="s">
        <v>7317</v>
      </c>
      <c r="M718" s="100"/>
      <c r="N718" s="103" t="s">
        <v>7312</v>
      </c>
      <c r="O718" s="100"/>
      <c r="P718" s="103" t="s">
        <v>7318</v>
      </c>
      <c r="Q718" s="103">
        <v>49.413828299999999</v>
      </c>
      <c r="R718" s="103">
        <v>14.6825647</v>
      </c>
      <c r="S718" s="100" t="s">
        <v>7447</v>
      </c>
      <c r="T718" s="103" t="s">
        <v>369</v>
      </c>
      <c r="U718" s="103" t="s">
        <v>674</v>
      </c>
      <c r="V718" s="103" t="s">
        <v>674</v>
      </c>
      <c r="W718" s="103" t="s">
        <v>674</v>
      </c>
    </row>
    <row r="719" spans="1:23" ht="15.75" customHeight="1">
      <c r="A719" s="96">
        <v>1056</v>
      </c>
      <c r="B719" s="97" t="s">
        <v>27</v>
      </c>
      <c r="C719" s="103" t="s">
        <v>7319</v>
      </c>
      <c r="D719" s="103" t="s">
        <v>7320</v>
      </c>
      <c r="E719" s="103" t="s">
        <v>7321</v>
      </c>
      <c r="F719" s="103" t="s">
        <v>7322</v>
      </c>
      <c r="G719" s="97" t="s">
        <v>39</v>
      </c>
      <c r="H719" s="100" t="s">
        <v>69</v>
      </c>
      <c r="I719" s="103">
        <v>2018</v>
      </c>
      <c r="J719" s="100"/>
      <c r="K719" s="114" t="s">
        <v>7323</v>
      </c>
      <c r="L719" s="114" t="s">
        <v>7324</v>
      </c>
      <c r="M719" s="100"/>
      <c r="N719" s="100"/>
      <c r="O719" s="100"/>
      <c r="P719" s="103" t="s">
        <v>7325</v>
      </c>
      <c r="Q719" s="103">
        <v>48.815875300000002</v>
      </c>
      <c r="R719" s="103">
        <v>16.558470799999998</v>
      </c>
      <c r="S719" s="100" t="s">
        <v>7447</v>
      </c>
      <c r="T719" s="103" t="s">
        <v>325</v>
      </c>
      <c r="U719" s="103" t="s">
        <v>256</v>
      </c>
      <c r="V719" s="103" t="s">
        <v>950</v>
      </c>
      <c r="W719" s="103" t="s">
        <v>7321</v>
      </c>
    </row>
    <row r="720" spans="1:23" ht="15.75" customHeight="1">
      <c r="A720" s="96">
        <v>1059</v>
      </c>
      <c r="B720" s="97" t="s">
        <v>99</v>
      </c>
      <c r="C720" s="103" t="s">
        <v>7326</v>
      </c>
      <c r="D720" s="103" t="s">
        <v>7326</v>
      </c>
      <c r="E720" s="103" t="s">
        <v>123</v>
      </c>
      <c r="F720" s="103" t="s">
        <v>7327</v>
      </c>
      <c r="G720" s="97" t="s">
        <v>39</v>
      </c>
      <c r="H720" s="103" t="s">
        <v>114</v>
      </c>
      <c r="I720" s="103">
        <v>2018</v>
      </c>
      <c r="J720" s="114" t="s">
        <v>7328</v>
      </c>
      <c r="K720" s="114" t="s">
        <v>7329</v>
      </c>
      <c r="L720" s="114" t="s">
        <v>7330</v>
      </c>
      <c r="M720" s="103" t="s">
        <v>7331</v>
      </c>
      <c r="N720" s="103" t="s">
        <v>119</v>
      </c>
      <c r="O720" s="114" t="s">
        <v>7332</v>
      </c>
      <c r="P720" s="103" t="s">
        <v>7333</v>
      </c>
      <c r="Q720" s="103">
        <v>49.836390799999997</v>
      </c>
      <c r="R720" s="103">
        <v>18.285395000000001</v>
      </c>
      <c r="S720" s="100" t="s">
        <v>52</v>
      </c>
      <c r="T720" s="103" t="s">
        <v>7334</v>
      </c>
      <c r="U720" s="103" t="s">
        <v>122</v>
      </c>
      <c r="V720" s="103" t="s">
        <v>123</v>
      </c>
      <c r="W720" s="103" t="s">
        <v>123</v>
      </c>
    </row>
    <row r="721" spans="1:23" ht="15.75" customHeight="1">
      <c r="A721" s="96">
        <v>1060</v>
      </c>
      <c r="B721" s="97" t="s">
        <v>27</v>
      </c>
      <c r="C721" s="103" t="s">
        <v>7335</v>
      </c>
      <c r="D721" s="103" t="s">
        <v>7336</v>
      </c>
      <c r="E721" s="103" t="s">
        <v>7337</v>
      </c>
      <c r="F721" s="103" t="s">
        <v>7338</v>
      </c>
      <c r="G721" s="97" t="s">
        <v>39</v>
      </c>
      <c r="H721" s="100" t="s">
        <v>40</v>
      </c>
      <c r="I721" s="103">
        <v>2018</v>
      </c>
      <c r="J721" s="100"/>
      <c r="K721" s="114" t="s">
        <v>7339</v>
      </c>
      <c r="L721" s="114" t="s">
        <v>7340</v>
      </c>
      <c r="M721" s="100"/>
      <c r="N721" s="103" t="s">
        <v>7341</v>
      </c>
      <c r="O721" s="100"/>
      <c r="P721" s="103" t="s">
        <v>7342</v>
      </c>
      <c r="Q721" s="103">
        <v>48.589083899999999</v>
      </c>
      <c r="R721" s="103">
        <v>14.3260544</v>
      </c>
      <c r="S721" s="100" t="s">
        <v>7447</v>
      </c>
      <c r="T721" s="103" t="s">
        <v>369</v>
      </c>
      <c r="U721" s="103" t="s">
        <v>410</v>
      </c>
      <c r="V721" s="103" t="s">
        <v>410</v>
      </c>
      <c r="W721" s="103" t="s">
        <v>606</v>
      </c>
    </row>
    <row r="722" spans="1:23" ht="15.75" customHeight="1">
      <c r="A722" s="96">
        <v>1062</v>
      </c>
      <c r="B722" s="97" t="s">
        <v>99</v>
      </c>
      <c r="C722" s="103" t="s">
        <v>7343</v>
      </c>
      <c r="D722" s="103" t="s">
        <v>7344</v>
      </c>
      <c r="E722" s="103" t="s">
        <v>2602</v>
      </c>
      <c r="F722" s="103" t="s">
        <v>7345</v>
      </c>
      <c r="G722" s="97" t="s">
        <v>39</v>
      </c>
      <c r="H722" s="103" t="s">
        <v>114</v>
      </c>
      <c r="I722" s="98"/>
      <c r="J722" s="114" t="s">
        <v>6918</v>
      </c>
      <c r="K722" s="114" t="s">
        <v>6919</v>
      </c>
      <c r="L722" s="114" t="s">
        <v>7346</v>
      </c>
      <c r="M722" s="103" t="s">
        <v>7347</v>
      </c>
      <c r="N722" s="103" t="s">
        <v>119</v>
      </c>
      <c r="O722" s="100"/>
      <c r="P722" s="103" t="s">
        <v>7348</v>
      </c>
      <c r="Q722" s="103">
        <v>50.0725658</v>
      </c>
      <c r="R722" s="103">
        <v>14.439557499999999</v>
      </c>
      <c r="S722" s="100" t="s">
        <v>7447</v>
      </c>
      <c r="T722" s="103" t="s">
        <v>58</v>
      </c>
      <c r="U722" s="103" t="s">
        <v>58</v>
      </c>
      <c r="V722" s="103" t="s">
        <v>58</v>
      </c>
      <c r="W722" s="103" t="s">
        <v>59</v>
      </c>
    </row>
    <row r="723" spans="1:23" ht="15.75" customHeight="1">
      <c r="A723" s="96">
        <v>1063</v>
      </c>
      <c r="B723" s="97" t="s">
        <v>99</v>
      </c>
      <c r="C723" s="103" t="s">
        <v>7349</v>
      </c>
      <c r="D723" s="103" t="s">
        <v>7350</v>
      </c>
      <c r="E723" s="103" t="s">
        <v>636</v>
      </c>
      <c r="F723" s="103" t="s">
        <v>7351</v>
      </c>
      <c r="G723" s="97" t="s">
        <v>39</v>
      </c>
      <c r="H723" s="103" t="s">
        <v>114</v>
      </c>
      <c r="I723" s="98"/>
      <c r="J723" s="100"/>
      <c r="K723" s="114" t="s">
        <v>7352</v>
      </c>
      <c r="L723" s="114" t="s">
        <v>7353</v>
      </c>
      <c r="M723" s="100"/>
      <c r="N723" s="103" t="s">
        <v>119</v>
      </c>
      <c r="O723" s="100"/>
      <c r="P723" s="103" t="s">
        <v>7354</v>
      </c>
      <c r="Q723" s="103">
        <v>49.3947158</v>
      </c>
      <c r="R723" s="103">
        <v>15.588604999999999</v>
      </c>
      <c r="S723" s="100" t="s">
        <v>7447</v>
      </c>
      <c r="T723" s="103" t="s">
        <v>144</v>
      </c>
      <c r="U723" s="103" t="s">
        <v>636</v>
      </c>
      <c r="V723" s="103" t="s">
        <v>636</v>
      </c>
      <c r="W723" s="103" t="s">
        <v>636</v>
      </c>
    </row>
    <row r="724" spans="1:23" ht="15.75" customHeight="1">
      <c r="A724" s="96">
        <v>1064</v>
      </c>
      <c r="B724" s="97" t="s">
        <v>99</v>
      </c>
      <c r="C724" s="103" t="s">
        <v>7349</v>
      </c>
      <c r="D724" s="103" t="s">
        <v>7355</v>
      </c>
      <c r="E724" s="103" t="s">
        <v>1556</v>
      </c>
      <c r="F724" s="103" t="s">
        <v>7356</v>
      </c>
      <c r="G724" s="97" t="s">
        <v>39</v>
      </c>
      <c r="H724" s="103" t="s">
        <v>114</v>
      </c>
      <c r="I724" s="98"/>
      <c r="J724" s="114" t="s">
        <v>7357</v>
      </c>
      <c r="K724" s="114" t="s">
        <v>7358</v>
      </c>
      <c r="L724" s="114" t="s">
        <v>7359</v>
      </c>
      <c r="M724" s="100"/>
      <c r="N724" s="103" t="s">
        <v>119</v>
      </c>
      <c r="O724" s="100"/>
      <c r="P724" s="103" t="s">
        <v>7360</v>
      </c>
      <c r="Q724" s="103">
        <v>50.071276699999999</v>
      </c>
      <c r="R724" s="103">
        <v>14.4047672</v>
      </c>
      <c r="S724" s="100" t="s">
        <v>7447</v>
      </c>
      <c r="T724" s="103" t="s">
        <v>58</v>
      </c>
      <c r="U724" s="103" t="s">
        <v>58</v>
      </c>
      <c r="V724" s="103" t="s">
        <v>58</v>
      </c>
      <c r="W724" s="103" t="s">
        <v>59</v>
      </c>
    </row>
    <row r="725" spans="1:23" ht="15.75" customHeight="1">
      <c r="A725" s="96">
        <v>1065</v>
      </c>
      <c r="B725" s="97" t="s">
        <v>27</v>
      </c>
      <c r="C725" s="96" t="s">
        <v>3859</v>
      </c>
      <c r="D725" s="96" t="s">
        <v>3860</v>
      </c>
      <c r="E725" s="100" t="s">
        <v>7361</v>
      </c>
      <c r="F725" s="100" t="s">
        <v>7362</v>
      </c>
      <c r="G725" s="99" t="s">
        <v>39</v>
      </c>
      <c r="H725" s="100" t="s">
        <v>60</v>
      </c>
      <c r="I725" s="101">
        <v>2017</v>
      </c>
      <c r="J725" s="102" t="str">
        <f>HYPERLINK("http://www.hroch-liberec.cz","http://www.hroch-liberec.cz")</f>
        <v>http://www.hroch-liberec.cz</v>
      </c>
      <c r="K725" s="107" t="s">
        <v>7363</v>
      </c>
      <c r="L725" s="96" t="s">
        <v>3863</v>
      </c>
      <c r="M725" s="100"/>
      <c r="N725" s="96" t="s">
        <v>3859</v>
      </c>
      <c r="O725" s="100"/>
      <c r="P725" s="100" t="s">
        <v>7364</v>
      </c>
      <c r="Q725" s="103">
        <v>50.743476100000002</v>
      </c>
      <c r="R725" s="103">
        <v>15.059195600000001</v>
      </c>
      <c r="S725" s="100" t="s">
        <v>52</v>
      </c>
      <c r="T725" s="103" t="s">
        <v>67</v>
      </c>
      <c r="U725" s="103" t="s">
        <v>68</v>
      </c>
      <c r="V725" s="103" t="s">
        <v>68</v>
      </c>
      <c r="W725" s="103" t="s">
        <v>68</v>
      </c>
    </row>
    <row r="726" spans="1:23" ht="15.75" customHeight="1">
      <c r="A726" s="96">
        <v>1066</v>
      </c>
      <c r="B726" s="97" t="s">
        <v>27</v>
      </c>
      <c r="C726" s="103" t="s">
        <v>7365</v>
      </c>
      <c r="D726" s="103" t="s">
        <v>7366</v>
      </c>
      <c r="E726" s="103" t="s">
        <v>7367</v>
      </c>
      <c r="F726" s="103" t="s">
        <v>7368</v>
      </c>
      <c r="G726" s="99" t="s">
        <v>39</v>
      </c>
      <c r="H726" s="100" t="s">
        <v>69</v>
      </c>
      <c r="I726" s="103">
        <v>2018</v>
      </c>
      <c r="J726" s="114" t="s">
        <v>7369</v>
      </c>
      <c r="K726" s="100"/>
      <c r="L726" s="114" t="s">
        <v>7370</v>
      </c>
      <c r="M726" s="100"/>
      <c r="N726" s="103" t="s">
        <v>7371</v>
      </c>
      <c r="O726" s="100"/>
      <c r="P726" s="103" t="s">
        <v>7372</v>
      </c>
      <c r="Q726" s="103">
        <v>50.5272875</v>
      </c>
      <c r="R726" s="103">
        <v>14.1193089</v>
      </c>
      <c r="S726" s="100" t="s">
        <v>7447</v>
      </c>
      <c r="T726" s="103" t="s">
        <v>353</v>
      </c>
      <c r="U726" s="103" t="s">
        <v>767</v>
      </c>
      <c r="V726" s="103" t="s">
        <v>767</v>
      </c>
      <c r="W726" s="103" t="s">
        <v>7367</v>
      </c>
    </row>
    <row r="727" spans="1:23" ht="15.75" customHeight="1">
      <c r="A727" s="96">
        <v>1067</v>
      </c>
      <c r="B727" s="97" t="s">
        <v>99</v>
      </c>
      <c r="C727" s="103" t="s">
        <v>7373</v>
      </c>
      <c r="D727" s="103" t="s">
        <v>7373</v>
      </c>
      <c r="E727" s="103" t="s">
        <v>354</v>
      </c>
      <c r="F727" s="103" t="s">
        <v>7374</v>
      </c>
      <c r="G727" s="99" t="s">
        <v>39</v>
      </c>
      <c r="H727" s="103" t="s">
        <v>114</v>
      </c>
      <c r="I727" s="98"/>
      <c r="J727" s="114" t="s">
        <v>7375</v>
      </c>
      <c r="K727" s="114" t="s">
        <v>7376</v>
      </c>
      <c r="L727" s="114" t="s">
        <v>7377</v>
      </c>
      <c r="M727" s="103" t="s">
        <v>7378</v>
      </c>
      <c r="N727" s="103" t="s">
        <v>119</v>
      </c>
      <c r="O727" s="100"/>
      <c r="P727" s="103" t="s">
        <v>7379</v>
      </c>
      <c r="Q727" s="103">
        <v>50.661641899999999</v>
      </c>
      <c r="R727" s="103">
        <v>14.036233599999999</v>
      </c>
      <c r="S727" s="100" t="s">
        <v>7447</v>
      </c>
      <c r="T727" s="103" t="s">
        <v>353</v>
      </c>
      <c r="U727" s="103" t="s">
        <v>354</v>
      </c>
      <c r="V727" s="103" t="s">
        <v>354</v>
      </c>
      <c r="W727" s="103" t="s">
        <v>354</v>
      </c>
    </row>
    <row r="728" spans="1:23" ht="15.75" customHeight="1">
      <c r="A728" s="96">
        <v>1068</v>
      </c>
      <c r="B728" s="97" t="s">
        <v>27</v>
      </c>
      <c r="C728" s="103" t="s">
        <v>7380</v>
      </c>
      <c r="D728" s="103" t="s">
        <v>7381</v>
      </c>
      <c r="E728" s="100" t="s">
        <v>7382</v>
      </c>
      <c r="F728" s="103" t="s">
        <v>7383</v>
      </c>
      <c r="G728" s="99" t="s">
        <v>39</v>
      </c>
      <c r="H728" s="100" t="s">
        <v>40</v>
      </c>
      <c r="I728" s="103">
        <v>2018</v>
      </c>
      <c r="J728" s="114" t="s">
        <v>7384</v>
      </c>
      <c r="K728" s="114" t="s">
        <v>7385</v>
      </c>
      <c r="L728" s="114" t="s">
        <v>7386</v>
      </c>
      <c r="M728" s="103" t="s">
        <v>7387</v>
      </c>
      <c r="N728" s="100"/>
      <c r="O728" s="100"/>
      <c r="P728" s="103" t="s">
        <v>7388</v>
      </c>
      <c r="Q728" s="103">
        <v>48.689293300000003</v>
      </c>
      <c r="R728" s="103">
        <v>14.1232056</v>
      </c>
      <c r="S728" s="100" t="s">
        <v>7447</v>
      </c>
      <c r="T728" s="103" t="s">
        <v>369</v>
      </c>
      <c r="U728" s="103" t="s">
        <v>410</v>
      </c>
      <c r="V728" s="103" t="s">
        <v>410</v>
      </c>
      <c r="W728" s="100" t="s">
        <v>7389</v>
      </c>
    </row>
    <row r="729" spans="1:23" ht="15.75" customHeight="1">
      <c r="A729" s="96">
        <v>1069</v>
      </c>
      <c r="B729" s="97" t="s">
        <v>27</v>
      </c>
      <c r="C729" s="103" t="s">
        <v>7390</v>
      </c>
      <c r="D729" s="103" t="s">
        <v>7391</v>
      </c>
      <c r="E729" s="103" t="s">
        <v>6925</v>
      </c>
      <c r="F729" s="103" t="s">
        <v>7392</v>
      </c>
      <c r="G729" s="99" t="s">
        <v>39</v>
      </c>
      <c r="H729" s="100" t="s">
        <v>69</v>
      </c>
      <c r="I729" s="103">
        <v>2018</v>
      </c>
      <c r="J729" s="114" t="s">
        <v>7393</v>
      </c>
      <c r="K729" s="100"/>
      <c r="L729" s="114" t="s">
        <v>7394</v>
      </c>
      <c r="M729" s="100"/>
      <c r="N729" s="100"/>
      <c r="O729" s="100"/>
      <c r="P729" s="103" t="s">
        <v>7395</v>
      </c>
      <c r="Q729" s="103">
        <v>49.845930600000003</v>
      </c>
      <c r="R729" s="103">
        <v>18.123630599999998</v>
      </c>
      <c r="S729" s="100" t="s">
        <v>7447</v>
      </c>
      <c r="T729" s="103" t="s">
        <v>7334</v>
      </c>
      <c r="U729" s="103" t="s">
        <v>122</v>
      </c>
      <c r="V729" s="103" t="s">
        <v>123</v>
      </c>
      <c r="W729" s="103" t="s">
        <v>123</v>
      </c>
    </row>
    <row r="730" spans="1:23" ht="15.75" customHeight="1">
      <c r="A730" s="96">
        <v>1070</v>
      </c>
      <c r="B730" s="97" t="s">
        <v>27</v>
      </c>
      <c r="C730" s="103" t="s">
        <v>7396</v>
      </c>
      <c r="D730" s="103" t="s">
        <v>6054</v>
      </c>
      <c r="E730" s="103" t="s">
        <v>6055</v>
      </c>
      <c r="F730" s="103" t="s">
        <v>6056</v>
      </c>
      <c r="G730" s="99" t="s">
        <v>39</v>
      </c>
      <c r="H730" s="100" t="s">
        <v>60</v>
      </c>
      <c r="I730" s="103">
        <v>2018</v>
      </c>
      <c r="J730" s="100"/>
      <c r="K730" s="114" t="s">
        <v>7397</v>
      </c>
      <c r="L730" s="114" t="s">
        <v>7398</v>
      </c>
      <c r="M730" s="103" t="s">
        <v>7399</v>
      </c>
      <c r="N730" s="103" t="s">
        <v>7400</v>
      </c>
      <c r="O730" s="100"/>
      <c r="P730" s="103" t="s">
        <v>7401</v>
      </c>
      <c r="Q730" s="103">
        <v>50.101225800000002</v>
      </c>
      <c r="R730" s="103">
        <v>14.4044936</v>
      </c>
      <c r="S730" s="100" t="s">
        <v>7447</v>
      </c>
      <c r="T730" s="103" t="s">
        <v>58</v>
      </c>
      <c r="U730" s="103" t="s">
        <v>58</v>
      </c>
      <c r="V730" s="103" t="s">
        <v>58</v>
      </c>
      <c r="W730" s="103" t="s">
        <v>59</v>
      </c>
    </row>
    <row r="731" spans="1:23" ht="15.75" customHeight="1">
      <c r="A731" s="96">
        <v>1071</v>
      </c>
      <c r="B731" s="97" t="s">
        <v>27</v>
      </c>
      <c r="C731" s="100" t="s">
        <v>7402</v>
      </c>
      <c r="D731" s="103" t="s">
        <v>7403</v>
      </c>
      <c r="E731" s="100" t="s">
        <v>1556</v>
      </c>
      <c r="F731" s="119" t="s">
        <v>7404</v>
      </c>
      <c r="G731" s="99" t="s">
        <v>39</v>
      </c>
      <c r="H731" s="100" t="s">
        <v>40</v>
      </c>
      <c r="I731" s="103">
        <v>2019</v>
      </c>
      <c r="J731" s="114" t="s">
        <v>7405</v>
      </c>
      <c r="K731" s="114" t="s">
        <v>7406</v>
      </c>
      <c r="L731" s="114" t="s">
        <v>7407</v>
      </c>
      <c r="M731" s="100"/>
      <c r="N731" s="100"/>
      <c r="O731" s="100"/>
      <c r="P731" s="103" t="s">
        <v>7408</v>
      </c>
      <c r="Q731" s="103">
        <v>50.072328900000002</v>
      </c>
      <c r="R731" s="103">
        <v>14.406018299999999</v>
      </c>
      <c r="S731" s="100" t="s">
        <v>7447</v>
      </c>
      <c r="T731" s="103" t="s">
        <v>58</v>
      </c>
      <c r="U731" s="103" t="s">
        <v>58</v>
      </c>
      <c r="V731" s="103" t="s">
        <v>58</v>
      </c>
      <c r="W731" s="103" t="s">
        <v>59</v>
      </c>
    </row>
    <row r="732" spans="1:23">
      <c r="A732" s="96">
        <v>1072</v>
      </c>
      <c r="B732" s="97" t="s">
        <v>27</v>
      </c>
      <c r="C732" s="103" t="s">
        <v>7409</v>
      </c>
      <c r="D732" s="103" t="s">
        <v>7410</v>
      </c>
      <c r="E732" s="100" t="s">
        <v>7411</v>
      </c>
      <c r="F732" s="103" t="s">
        <v>7412</v>
      </c>
      <c r="G732" s="99" t="s">
        <v>39</v>
      </c>
      <c r="H732" s="100" t="s">
        <v>40</v>
      </c>
      <c r="I732" s="103">
        <v>2019</v>
      </c>
      <c r="J732" s="102" t="str">
        <f>HYPERLINK("http://kbelskypivovar.cz","http://kbelskypivovar.cz")</f>
        <v>http://kbelskypivovar.cz</v>
      </c>
      <c r="K732" s="114" t="s">
        <v>7413</v>
      </c>
      <c r="L732" s="114" t="s">
        <v>7414</v>
      </c>
      <c r="M732" s="100"/>
      <c r="N732" s="103" t="s">
        <v>7415</v>
      </c>
      <c r="O732" s="100"/>
      <c r="P732" s="103" t="s">
        <v>7416</v>
      </c>
      <c r="Q732" s="103">
        <v>50.130483900000002</v>
      </c>
      <c r="R732" s="103">
        <v>14.547584199999999</v>
      </c>
      <c r="S732" s="100" t="s">
        <v>7447</v>
      </c>
      <c r="T732" s="103" t="s">
        <v>58</v>
      </c>
      <c r="U732" s="103" t="s">
        <v>58</v>
      </c>
      <c r="V732" s="103" t="s">
        <v>58</v>
      </c>
      <c r="W732" s="103" t="s">
        <v>59</v>
      </c>
    </row>
    <row r="733" spans="1:23" ht="15.75" customHeight="1">
      <c r="A733" s="96">
        <v>1073</v>
      </c>
      <c r="B733" s="97" t="s">
        <v>27</v>
      </c>
      <c r="C733" s="100" t="s">
        <v>6401</v>
      </c>
      <c r="D733" s="103" t="s">
        <v>7417</v>
      </c>
      <c r="E733" s="96" t="s">
        <v>6401</v>
      </c>
      <c r="F733" s="103" t="s">
        <v>7418</v>
      </c>
      <c r="G733" s="99" t="s">
        <v>39</v>
      </c>
      <c r="H733" s="100" t="s">
        <v>69</v>
      </c>
      <c r="I733" s="103">
        <v>2019</v>
      </c>
      <c r="J733" s="102" t="str">
        <f>HYPERLINK("http://www.lomnickepivo.cz","http://www.lomnickepivo.cz")</f>
        <v>http://www.lomnickepivo.cz</v>
      </c>
      <c r="K733" s="102" t="str">
        <f>HYPERLINK("https://www.facebook.com/lomnickepivo","https://www.facebook.com/lomnickepivo")</f>
        <v>https://www.facebook.com/lomnickepivo</v>
      </c>
      <c r="L733" s="114" t="s">
        <v>7419</v>
      </c>
      <c r="M733" s="100"/>
      <c r="N733" s="100"/>
      <c r="O733" s="100"/>
      <c r="P733" s="103" t="s">
        <v>7420</v>
      </c>
      <c r="Q733" s="100">
        <v>50.5309794</v>
      </c>
      <c r="R733" s="103">
        <v>15.371103099999999</v>
      </c>
      <c r="S733" s="100" t="s">
        <v>7447</v>
      </c>
      <c r="T733" s="103" t="s">
        <v>67</v>
      </c>
      <c r="U733" s="103" t="s">
        <v>1240</v>
      </c>
      <c r="V733" s="103" t="s">
        <v>1240</v>
      </c>
      <c r="W733" s="103" t="s">
        <v>6401</v>
      </c>
    </row>
    <row r="734" spans="1:23" ht="15.75" customHeight="1">
      <c r="A734" s="96">
        <v>1074</v>
      </c>
      <c r="B734" s="97" t="s">
        <v>27</v>
      </c>
      <c r="C734" s="100" t="s">
        <v>7421</v>
      </c>
      <c r="D734" s="100" t="s">
        <v>7422</v>
      </c>
      <c r="E734" s="96" t="s">
        <v>3268</v>
      </c>
      <c r="F734" s="96" t="s">
        <v>3269</v>
      </c>
      <c r="G734" s="99" t="s">
        <v>39</v>
      </c>
      <c r="H734" s="100" t="s">
        <v>69</v>
      </c>
      <c r="I734" s="101">
        <v>2019</v>
      </c>
      <c r="J734" s="96"/>
      <c r="K734" s="107" t="s">
        <v>7423</v>
      </c>
      <c r="L734" s="107" t="s">
        <v>7424</v>
      </c>
      <c r="M734" s="96"/>
      <c r="N734" s="96"/>
      <c r="O734" s="96"/>
      <c r="P734" s="96" t="s">
        <v>3276</v>
      </c>
      <c r="Q734" s="101">
        <v>50.189614400000004</v>
      </c>
      <c r="R734" s="101">
        <v>14.647846700000001</v>
      </c>
      <c r="S734" s="100" t="s">
        <v>7447</v>
      </c>
      <c r="T734" s="103" t="s">
        <v>71</v>
      </c>
      <c r="U734" s="103" t="s">
        <v>1075</v>
      </c>
      <c r="V734" s="103" t="s">
        <v>3268</v>
      </c>
      <c r="W734" s="103" t="s">
        <v>3268</v>
      </c>
    </row>
    <row r="735" spans="1:23" ht="15.75" customHeight="1">
      <c r="A735" s="96">
        <v>1075</v>
      </c>
      <c r="B735" s="97" t="s">
        <v>27</v>
      </c>
      <c r="C735" s="103" t="s">
        <v>7425</v>
      </c>
      <c r="D735" s="103" t="s">
        <v>7426</v>
      </c>
      <c r="E735" s="100" t="s">
        <v>810</v>
      </c>
      <c r="F735" s="103" t="s">
        <v>7427</v>
      </c>
      <c r="G735" s="99" t="s">
        <v>39</v>
      </c>
      <c r="H735" s="100" t="s">
        <v>40</v>
      </c>
      <c r="I735" s="103">
        <v>2019</v>
      </c>
      <c r="J735" s="100"/>
      <c r="K735" s="114" t="s">
        <v>7428</v>
      </c>
      <c r="L735" s="114" t="s">
        <v>7429</v>
      </c>
      <c r="M735" s="100"/>
      <c r="N735" s="100"/>
      <c r="O735" s="100"/>
      <c r="P735" s="103" t="s">
        <v>7430</v>
      </c>
      <c r="Q735" s="103">
        <v>50.409641100000002</v>
      </c>
      <c r="R735" s="103">
        <v>14.904954699999999</v>
      </c>
      <c r="S735" s="100" t="s">
        <v>7447</v>
      </c>
      <c r="T735" s="103" t="s">
        <v>71</v>
      </c>
      <c r="U735" s="100" t="s">
        <v>810</v>
      </c>
      <c r="V735" s="100" t="s">
        <v>810</v>
      </c>
      <c r="W735" s="100" t="s">
        <v>810</v>
      </c>
    </row>
    <row r="736" spans="1:23" ht="15.75" customHeight="1">
      <c r="A736" s="96">
        <v>1076</v>
      </c>
      <c r="B736" s="97" t="s">
        <v>27</v>
      </c>
      <c r="C736" s="103" t="s">
        <v>7431</v>
      </c>
      <c r="D736" s="103" t="s">
        <v>7432</v>
      </c>
      <c r="E736" s="103" t="s">
        <v>382</v>
      </c>
      <c r="F736" s="103" t="s">
        <v>7433</v>
      </c>
      <c r="G736" s="99" t="s">
        <v>39</v>
      </c>
      <c r="H736" s="100" t="s">
        <v>40</v>
      </c>
      <c r="I736" s="103">
        <v>2019</v>
      </c>
      <c r="J736" s="114" t="s">
        <v>7434</v>
      </c>
      <c r="K736" s="114" t="s">
        <v>7435</v>
      </c>
      <c r="L736" s="114" t="s">
        <v>7436</v>
      </c>
      <c r="M736" s="100"/>
      <c r="N736" s="100"/>
      <c r="O736" s="100"/>
      <c r="P736" s="103" t="s">
        <v>7437</v>
      </c>
      <c r="Q736" s="103">
        <v>49.937069200000003</v>
      </c>
      <c r="R736" s="103">
        <v>17.2714575</v>
      </c>
      <c r="S736" s="100" t="s">
        <v>7447</v>
      </c>
      <c r="T736" s="103" t="s">
        <v>121</v>
      </c>
      <c r="U736" s="103" t="s">
        <v>466</v>
      </c>
      <c r="V736" s="103" t="s">
        <v>382</v>
      </c>
      <c r="W736" s="103" t="s">
        <v>382</v>
      </c>
    </row>
    <row r="737" spans="1:23" ht="15.75" customHeight="1">
      <c r="A737" s="96">
        <v>1078</v>
      </c>
      <c r="B737" s="97" t="s">
        <v>27</v>
      </c>
      <c r="C737" s="103" t="s">
        <v>6916</v>
      </c>
      <c r="D737" s="103" t="s">
        <v>7438</v>
      </c>
      <c r="E737" s="103" t="s">
        <v>6916</v>
      </c>
      <c r="F737" s="103" t="s">
        <v>7439</v>
      </c>
      <c r="G737" s="99" t="s">
        <v>39</v>
      </c>
      <c r="H737" s="100" t="s">
        <v>69</v>
      </c>
      <c r="I737" s="103">
        <v>2019</v>
      </c>
      <c r="J737" s="114" t="s">
        <v>7440</v>
      </c>
      <c r="K737" s="114" t="s">
        <v>7441</v>
      </c>
      <c r="L737" s="114" t="s">
        <v>7442</v>
      </c>
      <c r="M737" s="103" t="s">
        <v>7443</v>
      </c>
      <c r="N737" s="100"/>
      <c r="O737" s="100"/>
      <c r="P737" s="103" t="s">
        <v>7444</v>
      </c>
      <c r="Q737" s="103">
        <v>50.129614400000001</v>
      </c>
      <c r="R737" s="103">
        <v>13.6974964</v>
      </c>
      <c r="S737" s="100" t="s">
        <v>7447</v>
      </c>
      <c r="T737" s="103" t="s">
        <v>71</v>
      </c>
      <c r="U737" s="103" t="s">
        <v>76</v>
      </c>
      <c r="V737" s="103" t="s">
        <v>76</v>
      </c>
      <c r="W737" s="103" t="s">
        <v>6916</v>
      </c>
    </row>
    <row r="738" spans="1:23" ht="15.75" customHeight="1">
      <c r="B738" s="92"/>
      <c r="G738" s="92"/>
      <c r="I738" s="10"/>
    </row>
    <row r="739" spans="1:23" ht="15.75" customHeight="1">
      <c r="B739" s="92"/>
      <c r="G739" s="92"/>
      <c r="I739" s="10"/>
    </row>
    <row r="740" spans="1:23" ht="15.75" customHeight="1">
      <c r="B740" s="92"/>
      <c r="G740" s="92"/>
      <c r="I740" s="10"/>
    </row>
    <row r="741" spans="1:23" ht="15.75" customHeight="1">
      <c r="B741" s="92"/>
      <c r="G741" s="92"/>
      <c r="I741" s="10"/>
    </row>
    <row r="742" spans="1:23" ht="15.75" customHeight="1">
      <c r="B742" s="92"/>
      <c r="G742" s="92"/>
      <c r="I742" s="10"/>
    </row>
    <row r="743" spans="1:23" ht="15.75" customHeight="1">
      <c r="B743" s="92"/>
      <c r="G743" s="92"/>
      <c r="I743" s="10"/>
    </row>
    <row r="744" spans="1:23" ht="15.75" customHeight="1">
      <c r="B744" s="92"/>
      <c r="G744" s="92"/>
      <c r="I744" s="10"/>
    </row>
    <row r="745" spans="1:23" ht="15.75" customHeight="1">
      <c r="B745" s="92"/>
      <c r="G745" s="92"/>
      <c r="I745" s="10"/>
    </row>
    <row r="746" spans="1:23" ht="15.75" customHeight="1">
      <c r="B746" s="92"/>
      <c r="G746" s="92"/>
      <c r="I746" s="10"/>
    </row>
    <row r="747" spans="1:23" ht="15.75" customHeight="1">
      <c r="B747" s="92"/>
      <c r="G747" s="92"/>
      <c r="I747" s="10"/>
    </row>
    <row r="748" spans="1:23" ht="15.75" customHeight="1">
      <c r="B748" s="92"/>
      <c r="G748" s="92"/>
      <c r="I748" s="10"/>
    </row>
    <row r="749" spans="1:23" ht="15.75" customHeight="1">
      <c r="B749" s="92"/>
      <c r="G749" s="92"/>
      <c r="I749" s="10"/>
    </row>
    <row r="750" spans="1:23" ht="15.75" customHeight="1">
      <c r="B750" s="92"/>
      <c r="G750" s="92"/>
      <c r="I750" s="10"/>
    </row>
    <row r="751" spans="1:23" ht="15.75" customHeight="1">
      <c r="B751" s="92"/>
      <c r="G751" s="92"/>
      <c r="I751" s="10"/>
    </row>
    <row r="752" spans="1:23" ht="15.75" customHeight="1">
      <c r="B752" s="92"/>
      <c r="G752" s="92"/>
      <c r="I752" s="10"/>
    </row>
    <row r="753" spans="2:9" ht="15.75" customHeight="1">
      <c r="B753" s="92"/>
      <c r="G753" s="92"/>
      <c r="I753" s="10"/>
    </row>
    <row r="754" spans="2:9" ht="15.75" customHeight="1">
      <c r="B754" s="92"/>
      <c r="G754" s="92"/>
      <c r="I754" s="10"/>
    </row>
    <row r="755" spans="2:9" ht="15.75" customHeight="1">
      <c r="B755" s="92"/>
      <c r="G755" s="92"/>
      <c r="I755" s="10"/>
    </row>
    <row r="756" spans="2:9" ht="15.75" customHeight="1">
      <c r="B756" s="92"/>
      <c r="G756" s="92"/>
      <c r="I756" s="10"/>
    </row>
    <row r="757" spans="2:9" ht="15.75" customHeight="1">
      <c r="B757" s="92"/>
      <c r="G757" s="92"/>
      <c r="I757" s="10"/>
    </row>
    <row r="758" spans="2:9" ht="15.75" customHeight="1">
      <c r="B758" s="92"/>
      <c r="G758" s="92"/>
      <c r="I758" s="10"/>
    </row>
    <row r="759" spans="2:9" ht="15.75" customHeight="1">
      <c r="B759" s="92"/>
      <c r="G759" s="92"/>
      <c r="I759" s="10"/>
    </row>
    <row r="760" spans="2:9" ht="15.75" customHeight="1">
      <c r="B760" s="92"/>
      <c r="G760" s="92"/>
      <c r="I760" s="10"/>
    </row>
    <row r="761" spans="2:9" ht="15.75" customHeight="1">
      <c r="B761" s="92"/>
      <c r="G761" s="92"/>
      <c r="I761" s="10"/>
    </row>
    <row r="762" spans="2:9" ht="15.75" customHeight="1">
      <c r="B762" s="92"/>
      <c r="G762" s="92"/>
      <c r="I762" s="10"/>
    </row>
    <row r="763" spans="2:9" ht="15.75" customHeight="1">
      <c r="B763" s="92"/>
      <c r="G763" s="92"/>
      <c r="I763" s="10"/>
    </row>
    <row r="764" spans="2:9" ht="15.75" customHeight="1">
      <c r="B764" s="92"/>
      <c r="G764" s="92"/>
      <c r="I764" s="10"/>
    </row>
    <row r="765" spans="2:9" ht="15.75" customHeight="1">
      <c r="B765" s="92"/>
      <c r="G765" s="92"/>
      <c r="I765" s="10"/>
    </row>
    <row r="766" spans="2:9" ht="15.75" customHeight="1">
      <c r="B766" s="92"/>
      <c r="G766" s="92"/>
      <c r="I766" s="10"/>
    </row>
    <row r="767" spans="2:9" ht="15.75" customHeight="1">
      <c r="B767" s="92"/>
      <c r="G767" s="92"/>
      <c r="I767" s="10"/>
    </row>
    <row r="768" spans="2:9" ht="15.75" customHeight="1">
      <c r="B768" s="92"/>
      <c r="G768" s="92"/>
      <c r="I768" s="10"/>
    </row>
    <row r="769" spans="2:9" ht="15.75" customHeight="1">
      <c r="B769" s="92"/>
      <c r="G769" s="92"/>
      <c r="I769" s="10"/>
    </row>
    <row r="770" spans="2:9" ht="15.75" customHeight="1">
      <c r="B770" s="92"/>
      <c r="G770" s="92"/>
      <c r="I770" s="10"/>
    </row>
    <row r="771" spans="2:9" ht="15.75" customHeight="1">
      <c r="B771" s="92"/>
      <c r="G771" s="92"/>
      <c r="I771" s="10"/>
    </row>
    <row r="772" spans="2:9" ht="15.75" customHeight="1">
      <c r="B772" s="92"/>
      <c r="G772" s="92"/>
      <c r="I772" s="10"/>
    </row>
    <row r="773" spans="2:9" ht="15.75" customHeight="1">
      <c r="B773" s="92"/>
      <c r="G773" s="92"/>
      <c r="I773" s="10"/>
    </row>
    <row r="774" spans="2:9" ht="15.75" customHeight="1">
      <c r="B774" s="92"/>
      <c r="G774" s="92"/>
      <c r="I774" s="10"/>
    </row>
    <row r="775" spans="2:9" ht="15.75" customHeight="1">
      <c r="B775" s="92"/>
      <c r="G775" s="92"/>
      <c r="I775" s="10"/>
    </row>
    <row r="776" spans="2:9" ht="15.75" customHeight="1">
      <c r="B776" s="92"/>
      <c r="G776" s="92"/>
      <c r="I776" s="10"/>
    </row>
    <row r="777" spans="2:9" ht="15.75" customHeight="1">
      <c r="B777" s="92"/>
      <c r="G777" s="92"/>
      <c r="I777" s="10"/>
    </row>
    <row r="778" spans="2:9" ht="15.75" customHeight="1">
      <c r="B778" s="92"/>
      <c r="G778" s="92"/>
      <c r="I778" s="10"/>
    </row>
    <row r="779" spans="2:9" ht="15.75" customHeight="1">
      <c r="B779" s="92"/>
      <c r="G779" s="92"/>
      <c r="I779" s="10"/>
    </row>
    <row r="780" spans="2:9" ht="15.75" customHeight="1">
      <c r="B780" s="92"/>
      <c r="G780" s="92"/>
      <c r="I780" s="10"/>
    </row>
    <row r="781" spans="2:9" ht="15.75" customHeight="1">
      <c r="B781" s="92"/>
      <c r="G781" s="92"/>
      <c r="I781" s="10"/>
    </row>
    <row r="782" spans="2:9" ht="15.75" customHeight="1">
      <c r="B782" s="92"/>
      <c r="G782" s="92"/>
      <c r="I782" s="10"/>
    </row>
    <row r="783" spans="2:9" ht="15.75" customHeight="1">
      <c r="B783" s="92"/>
      <c r="G783" s="92"/>
      <c r="I783" s="10"/>
    </row>
    <row r="784" spans="2:9" ht="15.75" customHeight="1">
      <c r="B784" s="92"/>
      <c r="G784" s="92"/>
      <c r="I784" s="10"/>
    </row>
    <row r="785" spans="2:9" ht="15.75" customHeight="1">
      <c r="B785" s="92"/>
      <c r="G785" s="92"/>
      <c r="I785" s="10"/>
    </row>
    <row r="786" spans="2:9" ht="15.75" customHeight="1">
      <c r="B786" s="92"/>
      <c r="G786" s="92"/>
      <c r="I786" s="10"/>
    </row>
    <row r="787" spans="2:9" ht="15.75" customHeight="1">
      <c r="B787" s="92"/>
      <c r="G787" s="92"/>
      <c r="I787" s="10"/>
    </row>
    <row r="788" spans="2:9" ht="15.75" customHeight="1">
      <c r="B788" s="92"/>
      <c r="G788" s="92"/>
      <c r="I788" s="10"/>
    </row>
    <row r="789" spans="2:9" ht="15.75" customHeight="1">
      <c r="B789" s="92"/>
      <c r="G789" s="92"/>
      <c r="I789" s="10"/>
    </row>
    <row r="790" spans="2:9" ht="15.75" customHeight="1">
      <c r="B790" s="92"/>
      <c r="G790" s="92"/>
      <c r="I790" s="10"/>
    </row>
    <row r="791" spans="2:9" ht="15.75" customHeight="1">
      <c r="B791" s="92"/>
      <c r="G791" s="92"/>
      <c r="I791" s="10"/>
    </row>
    <row r="792" spans="2:9" ht="15.75" customHeight="1">
      <c r="B792" s="92"/>
      <c r="G792" s="92"/>
      <c r="I792" s="10"/>
    </row>
    <row r="793" spans="2:9" ht="15.75" customHeight="1">
      <c r="B793" s="92"/>
      <c r="G793" s="92"/>
      <c r="I793" s="10"/>
    </row>
    <row r="794" spans="2:9" ht="15.75" customHeight="1">
      <c r="B794" s="92"/>
      <c r="G794" s="92"/>
      <c r="I794" s="10"/>
    </row>
    <row r="795" spans="2:9" ht="15.75" customHeight="1">
      <c r="B795" s="92"/>
      <c r="G795" s="92"/>
      <c r="I795" s="10"/>
    </row>
    <row r="796" spans="2:9" ht="15.75" customHeight="1">
      <c r="B796" s="92"/>
      <c r="G796" s="92"/>
      <c r="I796" s="10"/>
    </row>
    <row r="797" spans="2:9" ht="15.75" customHeight="1">
      <c r="B797" s="92"/>
      <c r="G797" s="92"/>
      <c r="I797" s="10"/>
    </row>
    <row r="798" spans="2:9" ht="15.75" customHeight="1">
      <c r="B798" s="92"/>
      <c r="G798" s="92"/>
      <c r="I798" s="10"/>
    </row>
    <row r="799" spans="2:9" ht="15.75" customHeight="1">
      <c r="B799" s="92"/>
      <c r="G799" s="92"/>
      <c r="I799" s="10"/>
    </row>
    <row r="800" spans="2:9" ht="15.75" customHeight="1">
      <c r="B800" s="92"/>
      <c r="G800" s="92"/>
      <c r="I800" s="10"/>
    </row>
    <row r="801" spans="2:9" ht="15.75" customHeight="1">
      <c r="B801" s="92"/>
      <c r="G801" s="92"/>
      <c r="I801" s="10"/>
    </row>
    <row r="802" spans="2:9" ht="15.75" customHeight="1">
      <c r="B802" s="92"/>
      <c r="G802" s="92"/>
      <c r="I802" s="10"/>
    </row>
    <row r="803" spans="2:9" ht="15.75" customHeight="1">
      <c r="B803" s="92"/>
      <c r="G803" s="92"/>
      <c r="I803" s="10"/>
    </row>
    <row r="804" spans="2:9" ht="15.75" customHeight="1">
      <c r="B804" s="92"/>
      <c r="G804" s="92"/>
      <c r="I804" s="10"/>
    </row>
    <row r="805" spans="2:9" ht="15.75" customHeight="1">
      <c r="B805" s="92"/>
      <c r="G805" s="92"/>
      <c r="I805" s="10"/>
    </row>
    <row r="806" spans="2:9" ht="15.75" customHeight="1">
      <c r="B806" s="92"/>
      <c r="G806" s="92"/>
      <c r="I806" s="10"/>
    </row>
    <row r="807" spans="2:9" ht="15.75" customHeight="1">
      <c r="B807" s="92"/>
      <c r="G807" s="92"/>
      <c r="I807" s="10"/>
    </row>
    <row r="808" spans="2:9" ht="15.75" customHeight="1">
      <c r="B808" s="92"/>
      <c r="G808" s="92"/>
      <c r="I808" s="10"/>
    </row>
    <row r="809" spans="2:9" ht="15.75" customHeight="1">
      <c r="B809" s="92"/>
      <c r="G809" s="92"/>
      <c r="I809" s="10"/>
    </row>
    <row r="810" spans="2:9" ht="15.75" customHeight="1">
      <c r="B810" s="92"/>
      <c r="G810" s="92"/>
      <c r="I810" s="10"/>
    </row>
    <row r="811" spans="2:9" ht="15.75" customHeight="1">
      <c r="B811" s="92"/>
      <c r="G811" s="92"/>
      <c r="I811" s="10"/>
    </row>
    <row r="812" spans="2:9" ht="15.75" customHeight="1">
      <c r="B812" s="92"/>
      <c r="G812" s="92"/>
      <c r="I812" s="10"/>
    </row>
    <row r="813" spans="2:9" ht="15.75" customHeight="1">
      <c r="B813" s="92"/>
      <c r="G813" s="92"/>
      <c r="I813" s="10"/>
    </row>
    <row r="814" spans="2:9" ht="15.75" customHeight="1">
      <c r="B814" s="92"/>
      <c r="G814" s="92"/>
      <c r="I814" s="10"/>
    </row>
    <row r="815" spans="2:9" ht="15.75" customHeight="1">
      <c r="B815" s="92"/>
      <c r="G815" s="92"/>
      <c r="I815" s="10"/>
    </row>
    <row r="816" spans="2:9" ht="15.75" customHeight="1">
      <c r="B816" s="92"/>
      <c r="G816" s="92"/>
      <c r="I816" s="10"/>
    </row>
    <row r="817" spans="2:9" ht="15.75" customHeight="1">
      <c r="B817" s="92"/>
      <c r="G817" s="92"/>
      <c r="I817" s="10"/>
    </row>
    <row r="818" spans="2:9" ht="15.75" customHeight="1">
      <c r="B818" s="92"/>
      <c r="G818" s="92"/>
      <c r="I818" s="10"/>
    </row>
    <row r="819" spans="2:9" ht="15.75" customHeight="1">
      <c r="B819" s="92"/>
      <c r="G819" s="92"/>
      <c r="I819" s="10"/>
    </row>
    <row r="820" spans="2:9" ht="15.75" customHeight="1">
      <c r="B820" s="92"/>
      <c r="G820" s="92"/>
      <c r="I820" s="10"/>
    </row>
    <row r="821" spans="2:9" ht="15.75" customHeight="1">
      <c r="B821" s="92"/>
      <c r="G821" s="92"/>
      <c r="I821" s="10"/>
    </row>
    <row r="822" spans="2:9" ht="15.75" customHeight="1">
      <c r="B822" s="92"/>
      <c r="G822" s="92"/>
      <c r="I822" s="10"/>
    </row>
    <row r="823" spans="2:9" ht="15.75" customHeight="1">
      <c r="B823" s="92"/>
      <c r="G823" s="92"/>
      <c r="I823" s="10"/>
    </row>
    <row r="824" spans="2:9" ht="15.75" customHeight="1">
      <c r="B824" s="92"/>
      <c r="G824" s="92"/>
      <c r="I824" s="10"/>
    </row>
    <row r="825" spans="2:9" ht="15.75" customHeight="1">
      <c r="B825" s="92"/>
      <c r="G825" s="92"/>
      <c r="I825" s="10"/>
    </row>
    <row r="826" spans="2:9" ht="15.75" customHeight="1">
      <c r="B826" s="92"/>
      <c r="G826" s="92"/>
      <c r="I826" s="10"/>
    </row>
    <row r="827" spans="2:9" ht="15.75" customHeight="1">
      <c r="B827" s="92"/>
      <c r="G827" s="92"/>
      <c r="I827" s="10"/>
    </row>
    <row r="828" spans="2:9" ht="15.75" customHeight="1">
      <c r="B828" s="92"/>
      <c r="G828" s="92"/>
      <c r="I828" s="10"/>
    </row>
    <row r="829" spans="2:9" ht="15.75" customHeight="1">
      <c r="B829" s="92"/>
      <c r="G829" s="92"/>
      <c r="I829" s="10"/>
    </row>
    <row r="830" spans="2:9" ht="15.75" customHeight="1">
      <c r="B830" s="92"/>
      <c r="G830" s="92"/>
      <c r="I830" s="10"/>
    </row>
    <row r="831" spans="2:9" ht="15.75" customHeight="1">
      <c r="B831" s="92"/>
      <c r="G831" s="92"/>
      <c r="I831" s="10"/>
    </row>
    <row r="832" spans="2:9" ht="15.75" customHeight="1">
      <c r="B832" s="92"/>
      <c r="G832" s="92"/>
      <c r="I832" s="10"/>
    </row>
    <row r="833" spans="2:9" ht="15.75" customHeight="1">
      <c r="B833" s="92"/>
      <c r="G833" s="92"/>
      <c r="I833" s="10"/>
    </row>
    <row r="834" spans="2:9" ht="15.75" customHeight="1">
      <c r="B834" s="92"/>
      <c r="G834" s="92"/>
      <c r="I834" s="10"/>
    </row>
    <row r="835" spans="2:9" ht="15.75" customHeight="1">
      <c r="B835" s="92"/>
      <c r="G835" s="92"/>
      <c r="I835" s="10"/>
    </row>
    <row r="836" spans="2:9" ht="15.75" customHeight="1">
      <c r="B836" s="92"/>
      <c r="G836" s="92"/>
      <c r="I836" s="10"/>
    </row>
    <row r="837" spans="2:9" ht="15.75" customHeight="1">
      <c r="B837" s="92"/>
      <c r="G837" s="92"/>
      <c r="I837" s="10"/>
    </row>
    <row r="838" spans="2:9" ht="15.75" customHeight="1">
      <c r="B838" s="92"/>
      <c r="G838" s="92"/>
      <c r="I838" s="10"/>
    </row>
    <row r="839" spans="2:9" ht="15.75" customHeight="1">
      <c r="B839" s="92"/>
      <c r="G839" s="92"/>
      <c r="I839" s="10"/>
    </row>
    <row r="840" spans="2:9" ht="15.75" customHeight="1">
      <c r="B840" s="92"/>
      <c r="G840" s="92"/>
      <c r="I840" s="10"/>
    </row>
    <row r="841" spans="2:9" ht="15.75" customHeight="1">
      <c r="B841" s="92"/>
      <c r="G841" s="92"/>
      <c r="I841" s="10"/>
    </row>
    <row r="842" spans="2:9" ht="15.75" customHeight="1">
      <c r="B842" s="92"/>
      <c r="G842" s="92"/>
      <c r="I842" s="10"/>
    </row>
    <row r="843" spans="2:9" ht="15.75" customHeight="1">
      <c r="B843" s="92"/>
      <c r="G843" s="92"/>
      <c r="I843" s="10"/>
    </row>
    <row r="844" spans="2:9" ht="15.75" customHeight="1">
      <c r="B844" s="92"/>
      <c r="G844" s="92"/>
      <c r="I844" s="10"/>
    </row>
    <row r="845" spans="2:9" ht="15.75" customHeight="1">
      <c r="B845" s="92"/>
      <c r="G845" s="92"/>
      <c r="I845" s="10"/>
    </row>
    <row r="846" spans="2:9" ht="15.75" customHeight="1">
      <c r="B846" s="92"/>
      <c r="G846" s="92"/>
      <c r="I846" s="10"/>
    </row>
    <row r="847" spans="2:9" ht="15.75" customHeight="1">
      <c r="B847" s="92"/>
      <c r="G847" s="92"/>
      <c r="I847" s="10"/>
    </row>
    <row r="848" spans="2:9" ht="15.75" customHeight="1">
      <c r="B848" s="92"/>
      <c r="G848" s="92"/>
      <c r="I848" s="10"/>
    </row>
    <row r="849" spans="2:9" ht="15.75" customHeight="1">
      <c r="B849" s="92"/>
      <c r="G849" s="92"/>
      <c r="I849" s="10"/>
    </row>
    <row r="850" spans="2:9" ht="15.75" customHeight="1">
      <c r="B850" s="92"/>
      <c r="G850" s="92"/>
      <c r="I850" s="10"/>
    </row>
    <row r="851" spans="2:9" ht="15.75" customHeight="1">
      <c r="B851" s="92"/>
      <c r="G851" s="92"/>
      <c r="I851" s="10"/>
    </row>
    <row r="852" spans="2:9" ht="15.75" customHeight="1">
      <c r="B852" s="92"/>
      <c r="G852" s="92"/>
      <c r="I852" s="10"/>
    </row>
    <row r="853" spans="2:9" ht="15.75" customHeight="1">
      <c r="B853" s="92"/>
      <c r="G853" s="92"/>
      <c r="I853" s="10"/>
    </row>
    <row r="854" spans="2:9" ht="15.75" customHeight="1">
      <c r="B854" s="92"/>
      <c r="G854" s="92"/>
      <c r="I854" s="10"/>
    </row>
    <row r="855" spans="2:9" ht="15.75" customHeight="1">
      <c r="B855" s="92"/>
      <c r="G855" s="92"/>
      <c r="I855" s="10"/>
    </row>
    <row r="856" spans="2:9" ht="15.75" customHeight="1">
      <c r="B856" s="92"/>
      <c r="G856" s="92"/>
      <c r="I856" s="10"/>
    </row>
    <row r="857" spans="2:9" ht="15.75" customHeight="1">
      <c r="B857" s="92"/>
      <c r="G857" s="92"/>
      <c r="I857" s="10"/>
    </row>
    <row r="858" spans="2:9" ht="15.75" customHeight="1">
      <c r="B858" s="92"/>
      <c r="G858" s="92"/>
      <c r="I858" s="10"/>
    </row>
    <row r="859" spans="2:9" ht="15.75" customHeight="1">
      <c r="B859" s="92"/>
      <c r="G859" s="92"/>
      <c r="I859" s="10"/>
    </row>
    <row r="860" spans="2:9" ht="15.75" customHeight="1">
      <c r="B860" s="92"/>
      <c r="G860" s="92"/>
      <c r="I860" s="10"/>
    </row>
    <row r="861" spans="2:9" ht="15.75" customHeight="1">
      <c r="B861" s="92"/>
      <c r="G861" s="92"/>
      <c r="I861" s="10"/>
    </row>
    <row r="862" spans="2:9" ht="15.75" customHeight="1">
      <c r="B862" s="92"/>
      <c r="G862" s="92"/>
      <c r="I862" s="10"/>
    </row>
    <row r="863" spans="2:9" ht="15.75" customHeight="1">
      <c r="B863" s="92"/>
      <c r="G863" s="92"/>
      <c r="I863" s="10"/>
    </row>
    <row r="864" spans="2:9" ht="15.75" customHeight="1">
      <c r="B864" s="92"/>
      <c r="G864" s="92"/>
      <c r="I864" s="10"/>
    </row>
    <row r="865" spans="2:9" ht="15.75" customHeight="1">
      <c r="B865" s="92"/>
      <c r="G865" s="92"/>
      <c r="I865" s="10"/>
    </row>
    <row r="866" spans="2:9" ht="15.75" customHeight="1">
      <c r="B866" s="92"/>
      <c r="G866" s="92"/>
      <c r="I866" s="10"/>
    </row>
    <row r="867" spans="2:9" ht="15.75" customHeight="1">
      <c r="B867" s="92"/>
      <c r="G867" s="92"/>
      <c r="I867" s="10"/>
    </row>
    <row r="868" spans="2:9" ht="15.75" customHeight="1">
      <c r="B868" s="92"/>
      <c r="G868" s="92"/>
      <c r="I868" s="10"/>
    </row>
    <row r="869" spans="2:9" ht="15.75" customHeight="1">
      <c r="B869" s="92"/>
      <c r="G869" s="92"/>
      <c r="I869" s="10"/>
    </row>
    <row r="870" spans="2:9" ht="15.75" customHeight="1">
      <c r="B870" s="92"/>
      <c r="G870" s="92"/>
      <c r="I870" s="10"/>
    </row>
    <row r="871" spans="2:9" ht="15.75" customHeight="1">
      <c r="B871" s="92"/>
      <c r="G871" s="92"/>
      <c r="I871" s="10"/>
    </row>
    <row r="872" spans="2:9" ht="15.75" customHeight="1">
      <c r="B872" s="92"/>
      <c r="G872" s="92"/>
      <c r="I872" s="10"/>
    </row>
    <row r="873" spans="2:9" ht="15.75" customHeight="1">
      <c r="B873" s="92"/>
      <c r="G873" s="92"/>
      <c r="I873" s="10"/>
    </row>
    <row r="874" spans="2:9" ht="15.75" customHeight="1">
      <c r="B874" s="92"/>
      <c r="G874" s="92"/>
      <c r="I874" s="10"/>
    </row>
    <row r="875" spans="2:9" ht="15.75" customHeight="1">
      <c r="B875" s="92"/>
      <c r="G875" s="92"/>
      <c r="I875" s="10"/>
    </row>
    <row r="876" spans="2:9" ht="15.75" customHeight="1">
      <c r="B876" s="92"/>
      <c r="G876" s="92"/>
      <c r="I876" s="10"/>
    </row>
    <row r="877" spans="2:9" ht="15.75" customHeight="1">
      <c r="B877" s="92"/>
      <c r="G877" s="92"/>
      <c r="I877" s="10"/>
    </row>
    <row r="878" spans="2:9" ht="15.75" customHeight="1">
      <c r="B878" s="92"/>
      <c r="G878" s="92"/>
      <c r="I878" s="10"/>
    </row>
    <row r="879" spans="2:9" ht="15.75" customHeight="1">
      <c r="B879" s="92"/>
      <c r="G879" s="92"/>
      <c r="I879" s="10"/>
    </row>
    <row r="880" spans="2:9" ht="15.75" customHeight="1">
      <c r="B880" s="92"/>
      <c r="G880" s="92"/>
      <c r="I880" s="10"/>
    </row>
    <row r="881" spans="2:9" ht="15.75" customHeight="1">
      <c r="B881" s="92"/>
      <c r="G881" s="92"/>
      <c r="I881" s="10"/>
    </row>
    <row r="882" spans="2:9" ht="15.75" customHeight="1">
      <c r="B882" s="92"/>
      <c r="G882" s="92"/>
      <c r="I882" s="10"/>
    </row>
    <row r="883" spans="2:9" ht="15.75" customHeight="1">
      <c r="B883" s="92"/>
      <c r="G883" s="92"/>
      <c r="I883" s="10"/>
    </row>
    <row r="884" spans="2:9" ht="15.75" customHeight="1">
      <c r="B884" s="92"/>
      <c r="G884" s="92"/>
      <c r="I884" s="10"/>
    </row>
    <row r="885" spans="2:9" ht="15.75" customHeight="1">
      <c r="B885" s="92"/>
      <c r="G885" s="92"/>
      <c r="I885" s="10"/>
    </row>
    <row r="886" spans="2:9" ht="15.75" customHeight="1">
      <c r="B886" s="92"/>
      <c r="G886" s="92"/>
      <c r="I886" s="10"/>
    </row>
    <row r="887" spans="2:9" ht="15.75" customHeight="1">
      <c r="B887" s="92"/>
      <c r="G887" s="92"/>
      <c r="I887" s="10"/>
    </row>
    <row r="888" spans="2:9" ht="15.75" customHeight="1">
      <c r="B888" s="92"/>
      <c r="G888" s="92"/>
      <c r="I888" s="10"/>
    </row>
    <row r="889" spans="2:9" ht="15.75" customHeight="1">
      <c r="B889" s="92"/>
      <c r="G889" s="92"/>
      <c r="I889" s="10"/>
    </row>
    <row r="890" spans="2:9" ht="15.75" customHeight="1">
      <c r="B890" s="92"/>
      <c r="G890" s="92"/>
      <c r="I890" s="10"/>
    </row>
    <row r="891" spans="2:9" ht="15.75" customHeight="1">
      <c r="B891" s="92"/>
      <c r="G891" s="92"/>
      <c r="I891" s="10"/>
    </row>
    <row r="892" spans="2:9" ht="15.75" customHeight="1">
      <c r="B892" s="92"/>
      <c r="G892" s="92"/>
      <c r="I892" s="10"/>
    </row>
    <row r="893" spans="2:9" ht="15.75" customHeight="1">
      <c r="B893" s="92"/>
      <c r="G893" s="92"/>
      <c r="I893" s="10"/>
    </row>
    <row r="894" spans="2:9" ht="15.75" customHeight="1">
      <c r="B894" s="92"/>
      <c r="G894" s="92"/>
      <c r="I894" s="10"/>
    </row>
    <row r="895" spans="2:9" ht="15.75" customHeight="1">
      <c r="B895" s="92"/>
      <c r="G895" s="92"/>
      <c r="I895" s="10"/>
    </row>
    <row r="896" spans="2:9" ht="15.75" customHeight="1">
      <c r="B896" s="92"/>
      <c r="G896" s="92"/>
      <c r="I896" s="10"/>
    </row>
    <row r="897" spans="2:9" ht="15.75" customHeight="1">
      <c r="B897" s="92"/>
      <c r="G897" s="92"/>
      <c r="I897" s="10"/>
    </row>
    <row r="898" spans="2:9" ht="15.75" customHeight="1">
      <c r="B898" s="92"/>
      <c r="G898" s="92"/>
      <c r="I898" s="10"/>
    </row>
    <row r="899" spans="2:9" ht="15.75" customHeight="1">
      <c r="B899" s="92"/>
      <c r="G899" s="92"/>
      <c r="I899" s="10"/>
    </row>
    <row r="900" spans="2:9" ht="15.75" customHeight="1">
      <c r="B900" s="92"/>
      <c r="G900" s="92"/>
      <c r="I900" s="10"/>
    </row>
    <row r="901" spans="2:9" ht="15.75" customHeight="1">
      <c r="B901" s="92"/>
      <c r="G901" s="92"/>
      <c r="I901" s="10"/>
    </row>
    <row r="902" spans="2:9" ht="15.75" customHeight="1">
      <c r="B902" s="92"/>
      <c r="G902" s="92"/>
      <c r="I902" s="10"/>
    </row>
    <row r="903" spans="2:9" ht="15.75" customHeight="1">
      <c r="B903" s="92"/>
      <c r="G903" s="92"/>
      <c r="I903" s="10"/>
    </row>
    <row r="904" spans="2:9" ht="15.75" customHeight="1">
      <c r="B904" s="92"/>
      <c r="G904" s="92"/>
      <c r="I904" s="10"/>
    </row>
    <row r="905" spans="2:9" ht="15.75" customHeight="1">
      <c r="B905" s="92"/>
      <c r="G905" s="92"/>
      <c r="I905" s="10"/>
    </row>
    <row r="906" spans="2:9" ht="15.75" customHeight="1">
      <c r="B906" s="92"/>
      <c r="G906" s="92"/>
      <c r="I906" s="10"/>
    </row>
    <row r="907" spans="2:9" ht="15.75" customHeight="1">
      <c r="B907" s="92"/>
      <c r="G907" s="92"/>
      <c r="I907" s="10"/>
    </row>
    <row r="908" spans="2:9" ht="15.75" customHeight="1">
      <c r="B908" s="92"/>
      <c r="G908" s="92"/>
      <c r="I908" s="10"/>
    </row>
    <row r="909" spans="2:9" ht="15.75" customHeight="1">
      <c r="B909" s="92"/>
      <c r="G909" s="92"/>
      <c r="I909" s="10"/>
    </row>
    <row r="910" spans="2:9" ht="15.75" customHeight="1">
      <c r="B910" s="92"/>
      <c r="G910" s="92"/>
      <c r="I910" s="10"/>
    </row>
    <row r="911" spans="2:9" ht="15.75" customHeight="1">
      <c r="B911" s="92"/>
      <c r="G911" s="92"/>
      <c r="I911" s="10"/>
    </row>
    <row r="912" spans="2:9" ht="15.75" customHeight="1">
      <c r="B912" s="92"/>
      <c r="G912" s="92"/>
      <c r="I912" s="10"/>
    </row>
    <row r="913" spans="2:9" ht="15.75" customHeight="1">
      <c r="B913" s="92"/>
      <c r="G913" s="92"/>
      <c r="I913" s="10"/>
    </row>
    <row r="914" spans="2:9" ht="15.75" customHeight="1">
      <c r="B914" s="92"/>
      <c r="G914" s="92"/>
      <c r="I914" s="10"/>
    </row>
    <row r="915" spans="2:9" ht="15.75" customHeight="1">
      <c r="B915" s="92"/>
      <c r="G915" s="92"/>
      <c r="I915" s="10"/>
    </row>
    <row r="916" spans="2:9" ht="15.75" customHeight="1">
      <c r="B916" s="92"/>
      <c r="G916" s="92"/>
      <c r="I916" s="10"/>
    </row>
    <row r="917" spans="2:9" ht="15.75" customHeight="1">
      <c r="B917" s="92"/>
      <c r="G917" s="92"/>
      <c r="I917" s="10"/>
    </row>
    <row r="918" spans="2:9" ht="15.75" customHeight="1">
      <c r="B918" s="92"/>
      <c r="G918" s="92"/>
      <c r="I918" s="10"/>
    </row>
    <row r="919" spans="2:9" ht="15.75" customHeight="1">
      <c r="B919" s="92"/>
      <c r="G919" s="92"/>
      <c r="I919" s="10"/>
    </row>
    <row r="920" spans="2:9" ht="15.75" customHeight="1">
      <c r="B920" s="92"/>
      <c r="G920" s="92"/>
      <c r="I920" s="10"/>
    </row>
    <row r="921" spans="2:9" ht="15.75" customHeight="1">
      <c r="B921" s="92"/>
      <c r="G921" s="92"/>
      <c r="I921" s="10"/>
    </row>
    <row r="922" spans="2:9" ht="15.75" customHeight="1">
      <c r="B922" s="92"/>
      <c r="G922" s="92"/>
      <c r="I922" s="10"/>
    </row>
    <row r="923" spans="2:9" ht="15.75" customHeight="1">
      <c r="B923" s="92"/>
      <c r="G923" s="92"/>
      <c r="I923" s="10"/>
    </row>
    <row r="924" spans="2:9" ht="15.75" customHeight="1">
      <c r="B924" s="92"/>
      <c r="G924" s="92"/>
      <c r="I924" s="10"/>
    </row>
    <row r="925" spans="2:9" ht="15.75" customHeight="1">
      <c r="B925" s="92"/>
      <c r="G925" s="92"/>
      <c r="I925" s="10"/>
    </row>
    <row r="926" spans="2:9" ht="15.75" customHeight="1">
      <c r="B926" s="92"/>
      <c r="G926" s="92"/>
      <c r="I926" s="10"/>
    </row>
    <row r="927" spans="2:9" ht="15.75" customHeight="1">
      <c r="B927" s="92"/>
      <c r="G927" s="92"/>
      <c r="I927" s="10"/>
    </row>
    <row r="928" spans="2:9" ht="15.75" customHeight="1">
      <c r="B928" s="92"/>
      <c r="G928" s="92"/>
      <c r="I928" s="10"/>
    </row>
    <row r="929" spans="2:9" ht="15.75" customHeight="1">
      <c r="B929" s="92"/>
      <c r="G929" s="92"/>
      <c r="I929" s="10"/>
    </row>
    <row r="930" spans="2:9" ht="15.75" customHeight="1">
      <c r="B930" s="92"/>
      <c r="G930" s="92"/>
      <c r="I930" s="10"/>
    </row>
    <row r="931" spans="2:9" ht="15.75" customHeight="1">
      <c r="B931" s="92"/>
      <c r="G931" s="92"/>
      <c r="I931" s="10"/>
    </row>
    <row r="932" spans="2:9" ht="15.75" customHeight="1">
      <c r="B932" s="92"/>
      <c r="G932" s="92"/>
      <c r="I932" s="10"/>
    </row>
    <row r="933" spans="2:9" ht="15.75" customHeight="1">
      <c r="B933" s="92"/>
      <c r="G933" s="92"/>
      <c r="I933" s="10"/>
    </row>
    <row r="934" spans="2:9" ht="15.75" customHeight="1">
      <c r="B934" s="92"/>
      <c r="G934" s="92"/>
      <c r="I934" s="10"/>
    </row>
    <row r="935" spans="2:9" ht="15.75" customHeight="1">
      <c r="B935" s="92"/>
      <c r="G935" s="92"/>
      <c r="I935" s="10"/>
    </row>
    <row r="936" spans="2:9" ht="15.75" customHeight="1">
      <c r="B936" s="92"/>
      <c r="G936" s="92"/>
      <c r="I936" s="10"/>
    </row>
    <row r="937" spans="2:9" ht="15.75" customHeight="1">
      <c r="B937" s="92"/>
      <c r="G937" s="92"/>
      <c r="I937" s="10"/>
    </row>
    <row r="938" spans="2:9" ht="15.75" customHeight="1">
      <c r="B938" s="92"/>
      <c r="G938" s="92"/>
      <c r="I938" s="10"/>
    </row>
    <row r="939" spans="2:9" ht="15.75" customHeight="1">
      <c r="B939" s="92"/>
      <c r="G939" s="92"/>
      <c r="I939" s="10"/>
    </row>
    <row r="940" spans="2:9" ht="15.75" customHeight="1">
      <c r="B940" s="92"/>
      <c r="G940" s="92"/>
      <c r="I940" s="10"/>
    </row>
    <row r="941" spans="2:9" ht="15.75" customHeight="1">
      <c r="B941" s="92"/>
      <c r="G941" s="92"/>
      <c r="I941" s="10"/>
    </row>
    <row r="942" spans="2:9" ht="15.75" customHeight="1">
      <c r="B942" s="92"/>
      <c r="G942" s="92"/>
      <c r="I942" s="10"/>
    </row>
    <row r="943" spans="2:9" ht="15.75" customHeight="1">
      <c r="B943" s="92"/>
      <c r="G943" s="92"/>
      <c r="I943" s="10"/>
    </row>
    <row r="944" spans="2:9" ht="15.75" customHeight="1">
      <c r="B944" s="92"/>
      <c r="G944" s="92"/>
      <c r="I944" s="10"/>
    </row>
    <row r="945" spans="2:9" ht="15.75" customHeight="1">
      <c r="B945" s="92"/>
      <c r="G945" s="92"/>
      <c r="I945" s="10"/>
    </row>
    <row r="946" spans="2:9" ht="15.75" customHeight="1">
      <c r="B946" s="92"/>
      <c r="G946" s="92"/>
      <c r="I946" s="10"/>
    </row>
    <row r="947" spans="2:9" ht="15.75" customHeight="1">
      <c r="B947" s="92"/>
      <c r="G947" s="92"/>
      <c r="I947" s="10"/>
    </row>
    <row r="948" spans="2:9" ht="15.75" customHeight="1">
      <c r="B948" s="92"/>
      <c r="G948" s="92"/>
      <c r="I948" s="10"/>
    </row>
    <row r="949" spans="2:9" ht="15.75" customHeight="1">
      <c r="B949" s="92"/>
      <c r="G949" s="92"/>
      <c r="I949" s="10"/>
    </row>
    <row r="950" spans="2:9" ht="15.75" customHeight="1">
      <c r="B950" s="92"/>
      <c r="G950" s="92"/>
      <c r="I950" s="10"/>
    </row>
    <row r="951" spans="2:9" ht="15.75" customHeight="1">
      <c r="B951" s="92"/>
      <c r="G951" s="92"/>
      <c r="I951" s="10"/>
    </row>
    <row r="952" spans="2:9" ht="15.75" customHeight="1">
      <c r="B952" s="92"/>
      <c r="G952" s="92"/>
      <c r="I952" s="10"/>
    </row>
    <row r="953" spans="2:9" ht="15.75" customHeight="1">
      <c r="B953" s="92"/>
      <c r="G953" s="92"/>
      <c r="I953" s="10"/>
    </row>
    <row r="954" spans="2:9" ht="15.75" customHeight="1">
      <c r="B954" s="92"/>
      <c r="G954" s="92"/>
      <c r="I954" s="10"/>
    </row>
    <row r="955" spans="2:9" ht="15.75" customHeight="1">
      <c r="B955" s="92"/>
      <c r="G955" s="92"/>
      <c r="I955" s="10"/>
    </row>
    <row r="956" spans="2:9" ht="15.75" customHeight="1">
      <c r="B956" s="92"/>
      <c r="G956" s="92"/>
      <c r="I956" s="10"/>
    </row>
    <row r="957" spans="2:9" ht="15.75" customHeight="1">
      <c r="B957" s="92"/>
      <c r="G957" s="92"/>
      <c r="I957" s="10"/>
    </row>
    <row r="958" spans="2:9" ht="15.75" customHeight="1">
      <c r="B958" s="92"/>
      <c r="G958" s="92"/>
      <c r="I958" s="10"/>
    </row>
    <row r="959" spans="2:9" ht="15.75" customHeight="1">
      <c r="B959" s="92"/>
      <c r="G959" s="92"/>
      <c r="I959" s="10"/>
    </row>
    <row r="960" spans="2:9" ht="15.75" customHeight="1">
      <c r="B960" s="92"/>
      <c r="G960" s="92"/>
      <c r="I960" s="10"/>
    </row>
    <row r="961" spans="2:9" ht="15.75" customHeight="1">
      <c r="B961" s="92"/>
      <c r="G961" s="92"/>
      <c r="I961" s="10"/>
    </row>
    <row r="962" spans="2:9" ht="15.75" customHeight="1">
      <c r="B962" s="92"/>
      <c r="G962" s="92"/>
      <c r="I962" s="10"/>
    </row>
    <row r="963" spans="2:9" ht="15.75" customHeight="1">
      <c r="B963" s="92"/>
      <c r="G963" s="92"/>
      <c r="I963" s="10"/>
    </row>
    <row r="964" spans="2:9" ht="15.75" customHeight="1">
      <c r="B964" s="92"/>
      <c r="G964" s="92"/>
      <c r="I964" s="10"/>
    </row>
    <row r="965" spans="2:9" ht="15.75" customHeight="1">
      <c r="B965" s="92"/>
      <c r="G965" s="92"/>
      <c r="I965" s="10"/>
    </row>
    <row r="966" spans="2:9" ht="15.75" customHeight="1">
      <c r="B966" s="92"/>
      <c r="G966" s="92"/>
      <c r="I966" s="10"/>
    </row>
    <row r="967" spans="2:9" ht="15.75" customHeight="1">
      <c r="B967" s="92"/>
      <c r="G967" s="92"/>
      <c r="I967" s="10"/>
    </row>
    <row r="968" spans="2:9" ht="15.75" customHeight="1">
      <c r="B968" s="92"/>
      <c r="G968" s="92"/>
      <c r="I968" s="10"/>
    </row>
    <row r="969" spans="2:9" ht="15.75" customHeight="1">
      <c r="B969" s="92"/>
      <c r="G969" s="92"/>
      <c r="I969" s="10"/>
    </row>
    <row r="970" spans="2:9" ht="15.75" customHeight="1">
      <c r="B970" s="92"/>
      <c r="G970" s="92"/>
      <c r="I970" s="10"/>
    </row>
    <row r="971" spans="2:9" ht="15.75" customHeight="1">
      <c r="B971" s="92"/>
      <c r="G971" s="92"/>
      <c r="I971" s="10"/>
    </row>
    <row r="972" spans="2:9" ht="15.75" customHeight="1">
      <c r="B972" s="92"/>
      <c r="G972" s="92"/>
      <c r="I972" s="10"/>
    </row>
    <row r="973" spans="2:9" ht="15.75" customHeight="1">
      <c r="B973" s="92"/>
      <c r="G973" s="92"/>
      <c r="I973" s="10"/>
    </row>
    <row r="974" spans="2:9" ht="15.75" customHeight="1">
      <c r="B974" s="92"/>
      <c r="G974" s="92"/>
      <c r="I974" s="10"/>
    </row>
    <row r="975" spans="2:9" ht="15.75" customHeight="1">
      <c r="B975" s="92"/>
      <c r="G975" s="92"/>
      <c r="I975" s="10"/>
    </row>
    <row r="976" spans="2:9" ht="15.75" customHeight="1">
      <c r="B976" s="92"/>
      <c r="G976" s="92"/>
      <c r="I976" s="10"/>
    </row>
    <row r="977" spans="2:9" ht="15.75" customHeight="1">
      <c r="B977" s="92"/>
      <c r="G977" s="92"/>
      <c r="I977" s="10"/>
    </row>
    <row r="978" spans="2:9" ht="15.75" customHeight="1">
      <c r="B978" s="92"/>
      <c r="G978" s="92"/>
      <c r="I978" s="10"/>
    </row>
    <row r="979" spans="2:9" ht="15.75" customHeight="1">
      <c r="B979" s="92"/>
      <c r="G979" s="92"/>
      <c r="I979" s="10"/>
    </row>
    <row r="980" spans="2:9" ht="15.75" customHeight="1">
      <c r="B980" s="92"/>
      <c r="G980" s="92"/>
      <c r="I980" s="10"/>
    </row>
    <row r="981" spans="2:9" ht="15.75" customHeight="1">
      <c r="B981" s="92"/>
      <c r="G981" s="92"/>
      <c r="I981" s="10"/>
    </row>
    <row r="982" spans="2:9" ht="15.75" customHeight="1">
      <c r="B982" s="92"/>
      <c r="G982" s="92"/>
      <c r="I982" s="10"/>
    </row>
    <row r="983" spans="2:9" ht="15.75" customHeight="1">
      <c r="B983" s="92"/>
      <c r="G983" s="92"/>
      <c r="I983" s="10"/>
    </row>
    <row r="984" spans="2:9" ht="15.75" customHeight="1">
      <c r="B984" s="92"/>
      <c r="G984" s="92"/>
      <c r="I984" s="10"/>
    </row>
    <row r="985" spans="2:9" ht="15.75" customHeight="1">
      <c r="B985" s="92"/>
      <c r="G985" s="92"/>
      <c r="I985" s="10"/>
    </row>
    <row r="986" spans="2:9" ht="15.75" customHeight="1">
      <c r="B986" s="92"/>
      <c r="G986" s="92"/>
      <c r="I986" s="10"/>
    </row>
    <row r="987" spans="2:9" ht="15.75" customHeight="1">
      <c r="B987" s="92"/>
      <c r="G987" s="92"/>
      <c r="I987" s="10"/>
    </row>
    <row r="988" spans="2:9" ht="15.75" customHeight="1">
      <c r="B988" s="92"/>
      <c r="G988" s="92"/>
      <c r="I988" s="10"/>
    </row>
    <row r="989" spans="2:9" ht="15.75" customHeight="1">
      <c r="B989" s="92"/>
      <c r="G989" s="92"/>
      <c r="I989" s="10"/>
    </row>
    <row r="990" spans="2:9" ht="15.75" customHeight="1">
      <c r="B990" s="92"/>
      <c r="G990" s="92"/>
      <c r="I990" s="10"/>
    </row>
    <row r="991" spans="2:9" ht="15.75" customHeight="1">
      <c r="B991" s="92"/>
      <c r="G991" s="92"/>
      <c r="I991" s="10"/>
    </row>
    <row r="992" spans="2:9" ht="15.75" customHeight="1">
      <c r="B992" s="92"/>
      <c r="G992" s="92"/>
      <c r="I992" s="10"/>
    </row>
    <row r="993" spans="2:9" ht="15.75" customHeight="1">
      <c r="B993" s="92"/>
      <c r="G993" s="92"/>
      <c r="I993" s="10"/>
    </row>
    <row r="994" spans="2:9" ht="15.75" customHeight="1">
      <c r="B994" s="92"/>
      <c r="G994" s="92"/>
      <c r="I994" s="10"/>
    </row>
    <row r="995" spans="2:9" ht="15.75" customHeight="1">
      <c r="B995" s="92"/>
      <c r="G995" s="92"/>
      <c r="I995" s="10"/>
    </row>
    <row r="996" spans="2:9" ht="15.75" customHeight="1">
      <c r="B996" s="92"/>
      <c r="G996" s="92"/>
      <c r="I996" s="10"/>
    </row>
    <row r="997" spans="2:9" ht="15.75" customHeight="1">
      <c r="B997" s="92"/>
      <c r="G997" s="92"/>
      <c r="I997" s="10"/>
    </row>
    <row r="998" spans="2:9" ht="15.75" customHeight="1">
      <c r="B998" s="92"/>
      <c r="G998" s="92"/>
      <c r="I998" s="10"/>
    </row>
    <row r="999" spans="2:9" ht="15.75" customHeight="1">
      <c r="B999" s="92"/>
      <c r="G999" s="92"/>
      <c r="I999" s="10"/>
    </row>
    <row r="1000" spans="2:9" ht="15.75" customHeight="1">
      <c r="B1000" s="92"/>
      <c r="G1000" s="92"/>
      <c r="I1000" s="10"/>
    </row>
    <row r="1001" spans="2:9" ht="15.75" customHeight="1">
      <c r="B1001" s="92"/>
      <c r="G1001" s="92"/>
      <c r="I1001" s="10"/>
    </row>
    <row r="1002" spans="2:9" ht="15.75" customHeight="1">
      <c r="B1002" s="92"/>
      <c r="G1002" s="92"/>
      <c r="I1002" s="10"/>
    </row>
    <row r="1003" spans="2:9" ht="15.75" customHeight="1">
      <c r="B1003" s="92"/>
      <c r="G1003" s="92"/>
      <c r="I1003" s="10"/>
    </row>
    <row r="1004" spans="2:9" ht="15.75" customHeight="1">
      <c r="B1004" s="92"/>
      <c r="G1004" s="92"/>
      <c r="I1004" s="10"/>
    </row>
    <row r="1005" spans="2:9" ht="15.75" customHeight="1">
      <c r="B1005" s="92"/>
      <c r="G1005" s="92"/>
      <c r="I1005" s="10"/>
    </row>
    <row r="1006" spans="2:9" ht="15.75" customHeight="1">
      <c r="B1006" s="92"/>
      <c r="G1006" s="92"/>
      <c r="I1006" s="10"/>
    </row>
    <row r="1007" spans="2:9" ht="15.75" customHeight="1">
      <c r="B1007" s="92"/>
      <c r="G1007" s="92"/>
      <c r="I1007" s="10"/>
    </row>
    <row r="1008" spans="2:9" ht="15.75" customHeight="1">
      <c r="B1008" s="92"/>
      <c r="G1008" s="92"/>
      <c r="I1008" s="10"/>
    </row>
    <row r="1009" spans="2:9" ht="15.75" customHeight="1">
      <c r="B1009" s="92"/>
      <c r="G1009" s="92"/>
      <c r="I1009" s="10"/>
    </row>
    <row r="1010" spans="2:9" ht="15.75" customHeight="1">
      <c r="B1010" s="92"/>
      <c r="G1010" s="92"/>
      <c r="I1010" s="10"/>
    </row>
    <row r="1011" spans="2:9" ht="15.75" customHeight="1">
      <c r="B1011" s="92"/>
      <c r="G1011" s="92"/>
      <c r="I1011" s="10"/>
    </row>
    <row r="1012" spans="2:9" ht="15.75" customHeight="1">
      <c r="B1012" s="92"/>
      <c r="G1012" s="92"/>
      <c r="I1012" s="10"/>
    </row>
    <row r="1013" spans="2:9" ht="15.75" customHeight="1">
      <c r="B1013" s="92"/>
      <c r="G1013" s="92"/>
      <c r="I1013" s="10"/>
    </row>
    <row r="1014" spans="2:9" ht="15.75" customHeight="1">
      <c r="B1014" s="92"/>
      <c r="G1014" s="92"/>
      <c r="I1014" s="10"/>
    </row>
    <row r="1015" spans="2:9" ht="15.75" customHeight="1">
      <c r="B1015" s="92"/>
      <c r="G1015" s="92"/>
      <c r="I1015" s="10"/>
    </row>
    <row r="1016" spans="2:9" ht="15.75" customHeight="1">
      <c r="B1016" s="92"/>
      <c r="G1016" s="92"/>
      <c r="I1016" s="10"/>
    </row>
    <row r="1017" spans="2:9" ht="15.75" customHeight="1">
      <c r="B1017" s="92"/>
      <c r="G1017" s="92"/>
      <c r="I1017" s="10"/>
    </row>
    <row r="1018" spans="2:9" ht="15.75" customHeight="1">
      <c r="B1018" s="92"/>
      <c r="G1018" s="92"/>
      <c r="I1018" s="10"/>
    </row>
    <row r="1019" spans="2:9" ht="15.75" customHeight="1">
      <c r="B1019" s="92"/>
      <c r="G1019" s="92"/>
      <c r="I1019" s="10"/>
    </row>
    <row r="1020" spans="2:9" ht="15.75" customHeight="1">
      <c r="B1020" s="92"/>
      <c r="G1020" s="92"/>
      <c r="I1020" s="10"/>
    </row>
    <row r="1021" spans="2:9" ht="15.75" customHeight="1">
      <c r="B1021" s="92"/>
      <c r="G1021" s="92"/>
      <c r="I1021" s="10"/>
    </row>
    <row r="1022" spans="2:9" ht="15.75" customHeight="1">
      <c r="B1022" s="92"/>
      <c r="G1022" s="92"/>
      <c r="I1022" s="10"/>
    </row>
    <row r="1023" spans="2:9" ht="15.75" customHeight="1">
      <c r="B1023" s="92"/>
      <c r="G1023" s="92"/>
      <c r="I1023" s="10"/>
    </row>
    <row r="1024" spans="2:9" ht="15.75" customHeight="1">
      <c r="B1024" s="92"/>
      <c r="G1024" s="92"/>
      <c r="I1024" s="10"/>
    </row>
    <row r="1025" spans="2:9" ht="15.75" customHeight="1">
      <c r="B1025" s="92"/>
      <c r="G1025" s="92"/>
      <c r="I1025" s="10"/>
    </row>
    <row r="1026" spans="2:9" ht="15.75" customHeight="1">
      <c r="B1026" s="92"/>
      <c r="G1026" s="92"/>
      <c r="I1026" s="10"/>
    </row>
    <row r="1027" spans="2:9" ht="15.75" customHeight="1">
      <c r="B1027" s="92"/>
      <c r="G1027" s="92"/>
      <c r="I1027" s="10"/>
    </row>
    <row r="1028" spans="2:9" ht="15.75" customHeight="1">
      <c r="B1028" s="92"/>
      <c r="G1028" s="92"/>
      <c r="I1028" s="10"/>
    </row>
    <row r="1029" spans="2:9" ht="15.75" customHeight="1">
      <c r="B1029" s="92"/>
      <c r="G1029" s="92"/>
      <c r="I1029" s="10"/>
    </row>
    <row r="1030" spans="2:9" ht="15.75" customHeight="1">
      <c r="B1030" s="92"/>
      <c r="G1030" s="92"/>
      <c r="I1030" s="10"/>
    </row>
    <row r="1031" spans="2:9" ht="15.75" customHeight="1">
      <c r="B1031" s="92"/>
      <c r="G1031" s="92"/>
      <c r="I1031" s="10"/>
    </row>
    <row r="1032" spans="2:9" ht="15.75" customHeight="1">
      <c r="B1032" s="92"/>
      <c r="G1032" s="92"/>
      <c r="I1032" s="10"/>
    </row>
    <row r="1033" spans="2:9" ht="15.75" customHeight="1">
      <c r="B1033" s="92"/>
      <c r="G1033" s="92"/>
      <c r="I1033" s="10"/>
    </row>
    <row r="1034" spans="2:9" ht="15.75" customHeight="1">
      <c r="B1034" s="92"/>
      <c r="G1034" s="92"/>
      <c r="I1034" s="10"/>
    </row>
    <row r="1035" spans="2:9" ht="15.75" customHeight="1">
      <c r="B1035" s="92"/>
      <c r="G1035" s="92"/>
      <c r="I1035" s="10"/>
    </row>
    <row r="1036" spans="2:9" ht="15.75" customHeight="1">
      <c r="B1036" s="92"/>
      <c r="G1036" s="92"/>
      <c r="I1036" s="10"/>
    </row>
    <row r="1037" spans="2:9" ht="15.75" customHeight="1">
      <c r="B1037" s="92"/>
      <c r="G1037" s="92"/>
      <c r="I1037" s="10"/>
    </row>
    <row r="1038" spans="2:9" ht="15.75" customHeight="1">
      <c r="B1038" s="92"/>
      <c r="G1038" s="92"/>
      <c r="I1038" s="10"/>
    </row>
    <row r="1039" spans="2:9" ht="15.75" customHeight="1">
      <c r="B1039" s="92"/>
      <c r="G1039" s="92"/>
      <c r="I1039" s="10"/>
    </row>
    <row r="1040" spans="2:9" ht="15.75" customHeight="1">
      <c r="B1040" s="92"/>
      <c r="G1040" s="92"/>
      <c r="I1040" s="10"/>
    </row>
    <row r="1041" spans="2:9" ht="15.75" customHeight="1">
      <c r="B1041" s="92"/>
      <c r="G1041" s="92"/>
      <c r="I1041" s="10"/>
    </row>
    <row r="1042" spans="2:9" ht="15.75" customHeight="1">
      <c r="B1042" s="92"/>
      <c r="G1042" s="92"/>
      <c r="I1042" s="10"/>
    </row>
    <row r="1043" spans="2:9" ht="15.75" customHeight="1">
      <c r="B1043" s="92"/>
      <c r="G1043" s="92"/>
      <c r="I1043" s="10"/>
    </row>
    <row r="1044" spans="2:9" ht="15.75" customHeight="1">
      <c r="B1044" s="92"/>
      <c r="G1044" s="92"/>
      <c r="I1044" s="10"/>
    </row>
    <row r="1045" spans="2:9" ht="15.75" customHeight="1">
      <c r="B1045" s="92"/>
      <c r="G1045" s="92"/>
      <c r="I1045" s="10"/>
    </row>
    <row r="1046" spans="2:9" ht="15.75" customHeight="1">
      <c r="B1046" s="92"/>
      <c r="G1046" s="92"/>
      <c r="I1046" s="10"/>
    </row>
    <row r="1047" spans="2:9" ht="15.75" customHeight="1">
      <c r="B1047" s="92"/>
      <c r="G1047" s="92"/>
      <c r="I1047" s="10"/>
    </row>
    <row r="1048" spans="2:9" ht="15.75" customHeight="1">
      <c r="B1048" s="92"/>
      <c r="G1048" s="92"/>
      <c r="I1048" s="10"/>
    </row>
    <row r="1049" spans="2:9" ht="15.75" customHeight="1">
      <c r="B1049" s="92"/>
      <c r="G1049" s="92"/>
      <c r="I1049" s="10"/>
    </row>
    <row r="1050" spans="2:9" ht="15.75" customHeight="1">
      <c r="B1050" s="92"/>
      <c r="G1050" s="92"/>
      <c r="I1050" s="10"/>
    </row>
    <row r="1051" spans="2:9" ht="15.75" customHeight="1">
      <c r="B1051" s="92"/>
      <c r="G1051" s="92"/>
      <c r="I1051" s="10"/>
    </row>
    <row r="1052" spans="2:9" ht="15.75" customHeight="1">
      <c r="B1052" s="92"/>
      <c r="G1052" s="92"/>
      <c r="I1052" s="10"/>
    </row>
    <row r="1053" spans="2:9" ht="15.75" customHeight="1">
      <c r="B1053" s="92"/>
      <c r="G1053" s="92"/>
      <c r="I1053" s="10"/>
    </row>
    <row r="1054" spans="2:9" ht="15.75" customHeight="1">
      <c r="B1054" s="92"/>
      <c r="G1054" s="92"/>
      <c r="I1054" s="10"/>
    </row>
    <row r="1055" spans="2:9" ht="15.75" customHeight="1">
      <c r="B1055" s="92"/>
      <c r="G1055" s="92"/>
      <c r="I1055" s="10"/>
    </row>
    <row r="1056" spans="2:9" ht="15.75" customHeight="1">
      <c r="B1056" s="92"/>
      <c r="G1056" s="92"/>
      <c r="I1056" s="10"/>
    </row>
    <row r="1057" spans="2:9" ht="15.75" customHeight="1">
      <c r="B1057" s="92"/>
      <c r="G1057" s="92"/>
      <c r="I1057" s="10"/>
    </row>
    <row r="1058" spans="2:9" ht="15.75" customHeight="1">
      <c r="B1058" s="92"/>
      <c r="G1058" s="92"/>
      <c r="I1058" s="10"/>
    </row>
    <row r="1059" spans="2:9" ht="15.75" customHeight="1">
      <c r="B1059" s="92"/>
      <c r="G1059" s="92"/>
      <c r="I1059" s="10"/>
    </row>
    <row r="1060" spans="2:9" ht="15.75" customHeight="1">
      <c r="B1060" s="92"/>
      <c r="G1060" s="92"/>
      <c r="I1060" s="10"/>
    </row>
    <row r="1061" spans="2:9" ht="15.75" customHeight="1">
      <c r="B1061" s="92"/>
      <c r="G1061" s="92"/>
      <c r="I1061" s="10"/>
    </row>
    <row r="1062" spans="2:9" ht="15.75" customHeight="1">
      <c r="B1062" s="92"/>
      <c r="G1062" s="92"/>
      <c r="I1062" s="10"/>
    </row>
    <row r="1063" spans="2:9" ht="15.75" customHeight="1">
      <c r="B1063" s="92"/>
      <c r="G1063" s="92"/>
      <c r="I1063" s="10"/>
    </row>
    <row r="1064" spans="2:9" ht="15.75" customHeight="1">
      <c r="B1064" s="92"/>
      <c r="G1064" s="92"/>
      <c r="I1064" s="10"/>
    </row>
    <row r="1065" spans="2:9" ht="15.75" customHeight="1">
      <c r="B1065" s="92"/>
      <c r="G1065" s="92"/>
      <c r="I1065" s="10"/>
    </row>
    <row r="1066" spans="2:9" ht="15.75" customHeight="1">
      <c r="B1066" s="92"/>
      <c r="G1066" s="92"/>
      <c r="I1066" s="10"/>
    </row>
    <row r="1067" spans="2:9" ht="15.75" customHeight="1">
      <c r="B1067" s="92"/>
      <c r="G1067" s="92"/>
      <c r="I1067" s="10"/>
    </row>
    <row r="1068" spans="2:9" ht="15.75" customHeight="1">
      <c r="B1068" s="92"/>
      <c r="G1068" s="92"/>
      <c r="I1068" s="10"/>
    </row>
    <row r="1069" spans="2:9" ht="15.75" customHeight="1">
      <c r="B1069" s="92"/>
      <c r="G1069" s="92"/>
      <c r="I1069" s="10"/>
    </row>
    <row r="1070" spans="2:9" ht="15.75" customHeight="1">
      <c r="B1070" s="92"/>
      <c r="G1070" s="92"/>
      <c r="I1070" s="10"/>
    </row>
    <row r="1071" spans="2:9" ht="15.75" customHeight="1">
      <c r="B1071" s="92"/>
      <c r="G1071" s="92"/>
      <c r="I1071" s="10"/>
    </row>
    <row r="1072" spans="2:9" ht="15.75" customHeight="1">
      <c r="B1072" s="92"/>
      <c r="G1072" s="92"/>
      <c r="I1072" s="10"/>
    </row>
    <row r="1073" spans="2:9" ht="15.75" customHeight="1">
      <c r="B1073" s="92"/>
      <c r="G1073" s="92"/>
      <c r="I1073" s="10"/>
    </row>
    <row r="1074" spans="2:9" ht="15.75" customHeight="1">
      <c r="B1074" s="92"/>
      <c r="G1074" s="92"/>
      <c r="I1074" s="10"/>
    </row>
    <row r="1075" spans="2:9" ht="15.75" customHeight="1">
      <c r="B1075" s="92"/>
      <c r="G1075" s="92"/>
      <c r="I1075" s="10"/>
    </row>
    <row r="1076" spans="2:9" ht="15.75" customHeight="1">
      <c r="B1076" s="92"/>
      <c r="G1076" s="92"/>
      <c r="I1076" s="10"/>
    </row>
    <row r="1077" spans="2:9" ht="15.75" customHeight="1">
      <c r="B1077" s="92"/>
      <c r="G1077" s="92"/>
      <c r="I1077" s="10"/>
    </row>
    <row r="1078" spans="2:9" ht="15.75" customHeight="1">
      <c r="B1078" s="92"/>
      <c r="G1078" s="92"/>
      <c r="I1078" s="10"/>
    </row>
    <row r="1079" spans="2:9" ht="15.75" customHeight="1">
      <c r="B1079" s="92"/>
      <c r="G1079" s="92"/>
      <c r="I1079" s="10"/>
    </row>
    <row r="1080" spans="2:9" ht="15.75" customHeight="1">
      <c r="B1080" s="92"/>
      <c r="G1080" s="92"/>
      <c r="I1080" s="10"/>
    </row>
    <row r="1081" spans="2:9" ht="15.75" customHeight="1">
      <c r="B1081" s="92"/>
      <c r="G1081" s="92"/>
      <c r="I1081" s="10"/>
    </row>
    <row r="1082" spans="2:9" ht="15.75" customHeight="1">
      <c r="B1082" s="92"/>
      <c r="G1082" s="92"/>
      <c r="I1082" s="10"/>
    </row>
    <row r="1083" spans="2:9" ht="15.75" customHeight="1">
      <c r="B1083" s="92"/>
      <c r="G1083" s="92"/>
      <c r="I1083" s="10"/>
    </row>
    <row r="1084" spans="2:9" ht="15.75" customHeight="1">
      <c r="B1084" s="92"/>
      <c r="G1084" s="92"/>
      <c r="I1084" s="10"/>
    </row>
    <row r="1085" spans="2:9" ht="15.75" customHeight="1">
      <c r="B1085" s="92"/>
      <c r="G1085" s="92"/>
      <c r="I1085" s="10"/>
    </row>
    <row r="1086" spans="2:9" ht="15.75" customHeight="1">
      <c r="B1086" s="92"/>
      <c r="G1086" s="92"/>
      <c r="I1086" s="10"/>
    </row>
    <row r="1087" spans="2:9" ht="15.75" customHeight="1">
      <c r="B1087" s="92"/>
      <c r="G1087" s="92"/>
      <c r="I1087" s="10"/>
    </row>
    <row r="1088" spans="2:9" ht="15.75" customHeight="1">
      <c r="B1088" s="92"/>
      <c r="G1088" s="92"/>
      <c r="I1088" s="10"/>
    </row>
    <row r="1089" spans="2:9" ht="15.75" customHeight="1">
      <c r="B1089" s="92"/>
      <c r="G1089" s="92"/>
      <c r="I1089" s="10"/>
    </row>
    <row r="1090" spans="2:9" ht="15.75" customHeight="1">
      <c r="B1090" s="92"/>
      <c r="G1090" s="92"/>
      <c r="I1090" s="10"/>
    </row>
    <row r="1091" spans="2:9" ht="15.75" customHeight="1">
      <c r="B1091" s="92"/>
      <c r="G1091" s="92"/>
      <c r="I1091" s="10"/>
    </row>
    <row r="1092" spans="2:9" ht="15.75" customHeight="1">
      <c r="B1092" s="92"/>
      <c r="G1092" s="92"/>
      <c r="I1092" s="10"/>
    </row>
    <row r="1093" spans="2:9" ht="15.75" customHeight="1">
      <c r="B1093" s="92"/>
      <c r="G1093" s="92"/>
      <c r="I1093" s="10"/>
    </row>
    <row r="1094" spans="2:9" ht="15.75" customHeight="1">
      <c r="B1094" s="92"/>
      <c r="G1094" s="92"/>
      <c r="I1094" s="10"/>
    </row>
    <row r="1095" spans="2:9" ht="15.75" customHeight="1">
      <c r="B1095" s="92"/>
      <c r="G1095" s="92"/>
      <c r="I1095" s="10"/>
    </row>
    <row r="1096" spans="2:9" ht="15.75" customHeight="1">
      <c r="B1096" s="92"/>
      <c r="G1096" s="92"/>
      <c r="I1096" s="10"/>
    </row>
    <row r="1097" spans="2:9" ht="15.75" customHeight="1">
      <c r="B1097" s="92"/>
      <c r="G1097" s="92"/>
      <c r="I1097" s="10"/>
    </row>
    <row r="1098" spans="2:9" ht="15.75" customHeight="1">
      <c r="B1098" s="92"/>
      <c r="G1098" s="92"/>
      <c r="I1098" s="10"/>
    </row>
    <row r="1099" spans="2:9" ht="15.75" customHeight="1">
      <c r="B1099" s="92"/>
      <c r="G1099" s="92"/>
      <c r="I1099" s="10"/>
    </row>
    <row r="1100" spans="2:9" ht="15.75" customHeight="1">
      <c r="B1100" s="92"/>
      <c r="G1100" s="92"/>
      <c r="I1100" s="10"/>
    </row>
    <row r="1101" spans="2:9" ht="15.75" customHeight="1">
      <c r="B1101" s="92"/>
      <c r="G1101" s="92"/>
      <c r="I1101" s="10"/>
    </row>
    <row r="1102" spans="2:9" ht="15.75" customHeight="1">
      <c r="B1102" s="92"/>
      <c r="G1102" s="92"/>
      <c r="I1102" s="10"/>
    </row>
    <row r="1103" spans="2:9" ht="15.75" customHeight="1">
      <c r="B1103" s="92"/>
      <c r="G1103" s="92"/>
      <c r="I1103" s="10"/>
    </row>
    <row r="1104" spans="2:9" ht="15.75" customHeight="1">
      <c r="B1104" s="92"/>
      <c r="G1104" s="92"/>
      <c r="I1104" s="10"/>
    </row>
    <row r="1105" spans="2:9" ht="15.75" customHeight="1">
      <c r="B1105" s="92"/>
      <c r="G1105" s="92"/>
      <c r="I1105" s="10"/>
    </row>
    <row r="1106" spans="2:9" ht="15.75" customHeight="1">
      <c r="B1106" s="92"/>
      <c r="G1106" s="92"/>
      <c r="I1106" s="10"/>
    </row>
    <row r="1107" spans="2:9" ht="15.75" customHeight="1">
      <c r="B1107" s="92"/>
      <c r="G1107" s="92"/>
      <c r="I1107" s="10"/>
    </row>
    <row r="1108" spans="2:9" ht="15.75" customHeight="1">
      <c r="B1108" s="92"/>
      <c r="G1108" s="92"/>
      <c r="I1108" s="10"/>
    </row>
    <row r="1109" spans="2:9" ht="15.75" customHeight="1">
      <c r="B1109" s="92"/>
      <c r="G1109" s="92"/>
      <c r="I1109" s="10"/>
    </row>
    <row r="1110" spans="2:9" ht="15.75" customHeight="1">
      <c r="B1110" s="92"/>
      <c r="G1110" s="92"/>
      <c r="I1110" s="10"/>
    </row>
    <row r="1111" spans="2:9" ht="15.75" customHeight="1">
      <c r="B1111" s="92"/>
      <c r="G1111" s="92"/>
      <c r="I1111" s="10"/>
    </row>
    <row r="1112" spans="2:9" ht="15.75" customHeight="1">
      <c r="B1112" s="92"/>
      <c r="G1112" s="92"/>
      <c r="I1112" s="10"/>
    </row>
    <row r="1113" spans="2:9" ht="15.75" customHeight="1">
      <c r="B1113" s="92"/>
      <c r="G1113" s="92"/>
      <c r="I1113" s="10"/>
    </row>
    <row r="1114" spans="2:9" ht="15.75" customHeight="1">
      <c r="B1114" s="92"/>
      <c r="G1114" s="92"/>
      <c r="I1114" s="10"/>
    </row>
    <row r="1115" spans="2:9" ht="15.75" customHeight="1">
      <c r="B1115" s="92"/>
      <c r="G1115" s="92"/>
      <c r="I1115" s="10"/>
    </row>
    <row r="1116" spans="2:9" ht="15.75" customHeight="1">
      <c r="B1116" s="92"/>
      <c r="G1116" s="92"/>
      <c r="I1116" s="10"/>
    </row>
    <row r="1117" spans="2:9" ht="15.75" customHeight="1">
      <c r="B1117" s="92"/>
      <c r="G1117" s="92"/>
      <c r="I1117" s="10"/>
    </row>
    <row r="1118" spans="2:9" ht="15.75" customHeight="1">
      <c r="B1118" s="92"/>
      <c r="G1118" s="92"/>
      <c r="I1118" s="10"/>
    </row>
    <row r="1119" spans="2:9" ht="15.75" customHeight="1">
      <c r="B1119" s="92"/>
      <c r="G1119" s="92"/>
      <c r="I1119" s="10"/>
    </row>
    <row r="1120" spans="2:9" ht="15.75" customHeight="1">
      <c r="B1120" s="92"/>
      <c r="G1120" s="92"/>
      <c r="I1120" s="10"/>
    </row>
    <row r="1121" spans="2:9" ht="15.75" customHeight="1">
      <c r="B1121" s="92"/>
      <c r="G1121" s="92"/>
      <c r="I1121" s="10"/>
    </row>
    <row r="1122" spans="2:9" ht="15.75" customHeight="1">
      <c r="B1122" s="92"/>
      <c r="G1122" s="92"/>
      <c r="I1122" s="10"/>
    </row>
    <row r="1123" spans="2:9" ht="15.75" customHeight="1">
      <c r="B1123" s="92"/>
      <c r="G1123" s="92"/>
      <c r="I1123" s="10"/>
    </row>
  </sheetData>
  <customSheetViews>
    <customSheetView guid="{AB5A28B1-455E-4E9D-B57A-5C0990705952}" filter="1" showAutoFilter="1">
      <pageMargins left="0.7" right="0.7" top="0.78740157499999996" bottom="0.78740157499999996" header="0.3" footer="0.3"/>
      <autoFilter ref="A1:AH1558">
        <filterColumn colId="1">
          <filters>
            <filter val="Pivovar (Brewery)"/>
          </filters>
        </filterColumn>
      </autoFilter>
    </customSheetView>
    <customSheetView guid="{99A1B3A8-EE0B-4F61-A62D-D19EB387D23E}" filter="1" showAutoFilter="1">
      <pageMargins left="0.7" right="0.7" top="0.78740157499999996" bottom="0.78740157499999996" header="0.3" footer="0.3"/>
      <autoFilter ref="B1:B1999"/>
    </customSheetView>
    <customSheetView guid="{EA40B602-513A-4324-9374-44672C94F427}" filter="1" showAutoFilter="1">
      <pageMargins left="0.7" right="0.7" top="0.78740157499999996" bottom="0.78740157499999996" header="0.3" footer="0.3"/>
      <autoFilter ref="I1:I1999"/>
    </customSheetView>
    <customSheetView guid="{BF5B5DF2-411A-4C72-9546-D6F3D7B40AFC}" filter="1" showAutoFilter="1">
      <pageMargins left="0.7" right="0.7" top="0.78740157499999996" bottom="0.78740157499999996" header="0.3" footer="0.3"/>
      <autoFilter ref="A1:AM1558">
        <filterColumn colId="38">
          <filters>
            <filter val="Březí"/>
            <filter val="Česká"/>
            <filter val="Frymburk"/>
            <filter val="Mlékojedy"/>
            <filter val="Olešná"/>
            <filter val="Ostrava"/>
            <filter val="Rozdrojovice"/>
            <filter val="Rudná"/>
            <filter val="Unhošť"/>
          </filters>
        </filterColumn>
      </autoFilter>
    </customSheetView>
  </customSheetViews>
  <hyperlinks>
    <hyperlink ref="O3" r:id="rId1"/>
    <hyperlink ref="O6" r:id="rId2"/>
    <hyperlink ref="L11" r:id="rId3"/>
    <hyperlink ref="O15" r:id="rId4"/>
    <hyperlink ref="O17" r:id="rId5"/>
    <hyperlink ref="K19" r:id="rId6"/>
    <hyperlink ref="O19" r:id="rId7"/>
    <hyperlink ref="O20" r:id="rId8"/>
    <hyperlink ref="K25" r:id="rId9"/>
    <hyperlink ref="K29" r:id="rId10"/>
    <hyperlink ref="O30" r:id="rId11"/>
    <hyperlink ref="J32" r:id="rId12"/>
    <hyperlink ref="K34" r:id="rId13"/>
    <hyperlink ref="O36" r:id="rId14"/>
    <hyperlink ref="O51" r:id="rId15"/>
    <hyperlink ref="K56" r:id="rId16"/>
    <hyperlink ref="K60" r:id="rId17"/>
    <hyperlink ref="O63" r:id="rId18"/>
    <hyperlink ref="O64" r:id="rId19"/>
    <hyperlink ref="K67" r:id="rId20"/>
    <hyperlink ref="J68" r:id="rId21"/>
    <hyperlink ref="K68" r:id="rId22"/>
    <hyperlink ref="J70" r:id="rId23"/>
    <hyperlink ref="K70" r:id="rId24"/>
    <hyperlink ref="J71" r:id="rId25"/>
    <hyperlink ref="K73" r:id="rId26"/>
    <hyperlink ref="J75" r:id="rId27"/>
    <hyperlink ref="K75" r:id="rId28"/>
    <hyperlink ref="O75" r:id="rId29"/>
    <hyperlink ref="O76" r:id="rId30"/>
    <hyperlink ref="O78" r:id="rId31"/>
    <hyperlink ref="J82" r:id="rId32"/>
    <hyperlink ref="K82" r:id="rId33"/>
    <hyperlink ref="O82" r:id="rId34"/>
    <hyperlink ref="K84" r:id="rId35"/>
    <hyperlink ref="J85" r:id="rId36"/>
    <hyperlink ref="O85" r:id="rId37"/>
    <hyperlink ref="O87" r:id="rId38"/>
    <hyperlink ref="O88" r:id="rId39"/>
    <hyperlink ref="O91" r:id="rId40"/>
    <hyperlink ref="J95" r:id="rId41"/>
    <hyperlink ref="O101" r:id="rId42"/>
    <hyperlink ref="O104" r:id="rId43"/>
    <hyperlink ref="O106" r:id="rId44"/>
    <hyperlink ref="O110" r:id="rId45"/>
    <hyperlink ref="O113" r:id="rId46"/>
    <hyperlink ref="O114" r:id="rId47"/>
    <hyperlink ref="O123" r:id="rId48"/>
    <hyperlink ref="L127" r:id="rId49"/>
    <hyperlink ref="O129" r:id="rId50"/>
    <hyperlink ref="K130" r:id="rId51"/>
    <hyperlink ref="K131" r:id="rId52"/>
    <hyperlink ref="O134" r:id="rId53"/>
    <hyperlink ref="O137" r:id="rId54"/>
    <hyperlink ref="O142" r:id="rId55"/>
    <hyperlink ref="O147" r:id="rId56"/>
    <hyperlink ref="O148" r:id="rId57"/>
    <hyperlink ref="J149" r:id="rId58"/>
    <hyperlink ref="O150" r:id="rId59"/>
    <hyperlink ref="O155" r:id="rId60"/>
    <hyperlink ref="O158" r:id="rId61"/>
    <hyperlink ref="K160" r:id="rId62"/>
    <hyperlink ref="O165" r:id="rId63"/>
    <hyperlink ref="O167" r:id="rId64"/>
    <hyperlink ref="O169" r:id="rId65"/>
    <hyperlink ref="O171" r:id="rId66"/>
    <hyperlink ref="O180" r:id="rId67"/>
    <hyperlink ref="O190" r:id="rId68"/>
    <hyperlink ref="O195" r:id="rId69"/>
    <hyperlink ref="K203" r:id="rId70"/>
    <hyperlink ref="O203" r:id="rId71"/>
    <hyperlink ref="O205" r:id="rId72"/>
    <hyperlink ref="K211" r:id="rId73"/>
    <hyperlink ref="O211" r:id="rId74"/>
    <hyperlink ref="O212" r:id="rId75"/>
    <hyperlink ref="O214" r:id="rId76"/>
    <hyperlink ref="K217" r:id="rId77"/>
    <hyperlink ref="O217" r:id="rId78"/>
    <hyperlink ref="O219" r:id="rId79"/>
    <hyperlink ref="O222" r:id="rId80"/>
    <hyperlink ref="O223" r:id="rId81"/>
    <hyperlink ref="J224" r:id="rId82"/>
    <hyperlink ref="O225" r:id="rId83"/>
    <hyperlink ref="O229" r:id="rId84"/>
    <hyperlink ref="O230" r:id="rId85"/>
    <hyperlink ref="K233" r:id="rId86"/>
    <hyperlink ref="O236" r:id="rId87"/>
    <hyperlink ref="O237" r:id="rId88"/>
    <hyperlink ref="O242" r:id="rId89"/>
    <hyperlink ref="K244" r:id="rId90"/>
    <hyperlink ref="O245" r:id="rId91"/>
    <hyperlink ref="O246" r:id="rId92"/>
    <hyperlink ref="O250" r:id="rId93"/>
    <hyperlink ref="O251" r:id="rId94"/>
    <hyperlink ref="K252" r:id="rId95"/>
    <hyperlink ref="J253" r:id="rId96"/>
    <hyperlink ref="O253" r:id="rId97"/>
    <hyperlink ref="O256" r:id="rId98"/>
    <hyperlink ref="O263" r:id="rId99"/>
    <hyperlink ref="O265" r:id="rId100"/>
    <hyperlink ref="O267" r:id="rId101"/>
    <hyperlink ref="O269" r:id="rId102"/>
    <hyperlink ref="O270" r:id="rId103"/>
    <hyperlink ref="O272" r:id="rId104"/>
    <hyperlink ref="O273" r:id="rId105"/>
    <hyperlink ref="O278" r:id="rId106"/>
    <hyperlink ref="O279" r:id="rId107"/>
    <hyperlink ref="O280" r:id="rId108"/>
    <hyperlink ref="O282" r:id="rId109"/>
    <hyperlink ref="O284" r:id="rId110"/>
    <hyperlink ref="O286" r:id="rId111"/>
    <hyperlink ref="K287" r:id="rId112"/>
    <hyperlink ref="O290" r:id="rId113"/>
    <hyperlink ref="K292" r:id="rId114"/>
    <hyperlink ref="O292" r:id="rId115"/>
    <hyperlink ref="O293" r:id="rId116"/>
    <hyperlink ref="O295" r:id="rId117"/>
    <hyperlink ref="O297" r:id="rId118"/>
    <hyperlink ref="O302" r:id="rId119"/>
    <hyperlink ref="O303" r:id="rId120"/>
    <hyperlink ref="O304" r:id="rId121"/>
    <hyperlink ref="K306" r:id="rId122"/>
    <hyperlink ref="O307" r:id="rId123"/>
    <hyperlink ref="O308" r:id="rId124"/>
    <hyperlink ref="K310" r:id="rId125"/>
    <hyperlink ref="O315" r:id="rId126"/>
    <hyperlink ref="O317" r:id="rId127"/>
    <hyperlink ref="O320" r:id="rId128"/>
    <hyperlink ref="O321" r:id="rId129"/>
    <hyperlink ref="O322" r:id="rId130"/>
    <hyperlink ref="O323" r:id="rId131"/>
    <hyperlink ref="O326" r:id="rId132"/>
    <hyperlink ref="O329" r:id="rId133"/>
    <hyperlink ref="O331" r:id="rId134"/>
    <hyperlink ref="O333" r:id="rId135"/>
    <hyperlink ref="K334" r:id="rId136"/>
    <hyperlink ref="O334" r:id="rId137"/>
    <hyperlink ref="K336" r:id="rId138"/>
    <hyperlink ref="O338" r:id="rId139"/>
    <hyperlink ref="O339" r:id="rId140"/>
    <hyperlink ref="O341" r:id="rId141"/>
    <hyperlink ref="O343" r:id="rId142"/>
    <hyperlink ref="O344" r:id="rId143"/>
    <hyperlink ref="O346" r:id="rId144"/>
    <hyperlink ref="O348" r:id="rId145"/>
    <hyperlink ref="O349" r:id="rId146"/>
    <hyperlink ref="O350" r:id="rId147"/>
    <hyperlink ref="O353" r:id="rId148"/>
    <hyperlink ref="O355" r:id="rId149"/>
    <hyperlink ref="O356" r:id="rId150"/>
    <hyperlink ref="K357" r:id="rId151"/>
    <hyperlink ref="O357" r:id="rId152"/>
    <hyperlink ref="O358" r:id="rId153"/>
    <hyperlink ref="O360" r:id="rId154"/>
    <hyperlink ref="O361" r:id="rId155"/>
    <hyperlink ref="O365" r:id="rId156"/>
    <hyperlink ref="O367" r:id="rId157"/>
    <hyperlink ref="O369" r:id="rId158"/>
    <hyperlink ref="O370" r:id="rId159"/>
    <hyperlink ref="O371" r:id="rId160"/>
    <hyperlink ref="L372" r:id="rId161"/>
    <hyperlink ref="O372" r:id="rId162"/>
    <hyperlink ref="O378" r:id="rId163"/>
    <hyperlink ref="O380" r:id="rId164"/>
    <hyperlink ref="O381" r:id="rId165"/>
    <hyperlink ref="K384" r:id="rId166"/>
    <hyperlink ref="O385" r:id="rId167"/>
    <hyperlink ref="O386" r:id="rId168"/>
    <hyperlink ref="O387" r:id="rId169"/>
    <hyperlink ref="K389" r:id="rId170"/>
    <hyperlink ref="O389" r:id="rId171"/>
    <hyperlink ref="O391" r:id="rId172"/>
    <hyperlink ref="K395" r:id="rId173"/>
    <hyperlink ref="O395" r:id="rId174"/>
    <hyperlink ref="O396" r:id="rId175"/>
    <hyperlink ref="O397" r:id="rId176"/>
    <hyperlink ref="O399" r:id="rId177"/>
    <hyperlink ref="J400" r:id="rId178"/>
    <hyperlink ref="J401" r:id="rId179"/>
    <hyperlink ref="K401" r:id="rId180"/>
    <hyperlink ref="O401" r:id="rId181"/>
    <hyperlink ref="O402" r:id="rId182"/>
    <hyperlink ref="K403" r:id="rId183"/>
    <hyperlink ref="O405" r:id="rId184"/>
    <hyperlink ref="O406" r:id="rId185"/>
    <hyperlink ref="O410" r:id="rId186"/>
    <hyperlink ref="O411" r:id="rId187"/>
    <hyperlink ref="O412" r:id="rId188"/>
    <hyperlink ref="O413" r:id="rId189"/>
    <hyperlink ref="J415" r:id="rId190"/>
    <hyperlink ref="K420" r:id="rId191"/>
    <hyperlink ref="J421" r:id="rId192"/>
    <hyperlink ref="K422" r:id="rId193"/>
    <hyperlink ref="O422" r:id="rId194"/>
    <hyperlink ref="O426" r:id="rId195"/>
    <hyperlink ref="J427" r:id="rId196"/>
    <hyperlink ref="J433" r:id="rId197"/>
    <hyperlink ref="O433" r:id="rId198"/>
    <hyperlink ref="K435" r:id="rId199"/>
    <hyperlink ref="O435" r:id="rId200"/>
    <hyperlink ref="O437" r:id="rId201"/>
    <hyperlink ref="O438" r:id="rId202"/>
    <hyperlink ref="O439" r:id="rId203"/>
    <hyperlink ref="O443" r:id="rId204"/>
    <hyperlink ref="J444" r:id="rId205"/>
    <hyperlink ref="K444" r:id="rId206"/>
    <hyperlink ref="O445" r:id="rId207"/>
    <hyperlink ref="O447" r:id="rId208"/>
    <hyperlink ref="J448" r:id="rId209"/>
    <hyperlink ref="O448" r:id="rId210"/>
    <hyperlink ref="J451" r:id="rId211"/>
    <hyperlink ref="O451" r:id="rId212"/>
    <hyperlink ref="K453" r:id="rId213"/>
    <hyperlink ref="J456" r:id="rId214"/>
    <hyperlink ref="K456" r:id="rId215"/>
    <hyperlink ref="L456" r:id="rId216"/>
    <hyperlink ref="O456" r:id="rId217"/>
    <hyperlink ref="J457" r:id="rId218"/>
    <hyperlink ref="K457" r:id="rId219"/>
    <hyperlink ref="M457" r:id="rId220"/>
    <hyperlink ref="O457" r:id="rId221"/>
    <hyperlink ref="K458" r:id="rId222"/>
    <hyperlink ref="O459" r:id="rId223"/>
    <hyperlink ref="J460" r:id="rId224"/>
    <hyperlink ref="K460" r:id="rId225"/>
    <hyperlink ref="O460" r:id="rId226"/>
    <hyperlink ref="J461" r:id="rId227"/>
    <hyperlink ref="J462" r:id="rId228"/>
    <hyperlink ref="O462" r:id="rId229"/>
    <hyperlink ref="J463" r:id="rId230"/>
    <hyperlink ref="K463" r:id="rId231"/>
    <hyperlink ref="O463" r:id="rId232"/>
    <hyperlink ref="J464" r:id="rId233"/>
    <hyperlink ref="K464" r:id="rId234"/>
    <hyperlink ref="L464" r:id="rId235"/>
    <hyperlink ref="J465" r:id="rId236"/>
    <hyperlink ref="K465" r:id="rId237"/>
    <hyperlink ref="O465" r:id="rId238"/>
    <hyperlink ref="J466" r:id="rId239"/>
    <hyperlink ref="K466" r:id="rId240"/>
    <hyperlink ref="J467" r:id="rId241"/>
    <hyperlink ref="K467" r:id="rId242"/>
    <hyperlink ref="O467" r:id="rId243"/>
    <hyperlink ref="K468" r:id="rId244"/>
    <hyperlink ref="O468" r:id="rId245"/>
    <hyperlink ref="J469" r:id="rId246"/>
    <hyperlink ref="K469" r:id="rId247"/>
    <hyperlink ref="J470" r:id="rId248"/>
    <hyperlink ref="K470" r:id="rId249"/>
    <hyperlink ref="J471" r:id="rId250"/>
    <hyperlink ref="K471" r:id="rId251"/>
    <hyperlink ref="O471" r:id="rId252"/>
    <hyperlink ref="K472" r:id="rId253"/>
    <hyperlink ref="L472" r:id="rId254"/>
    <hyperlink ref="J473" r:id="rId255"/>
    <hyperlink ref="J474" r:id="rId256"/>
    <hyperlink ref="O474" r:id="rId257"/>
    <hyperlink ref="J475" r:id="rId258"/>
    <hyperlink ref="K475" r:id="rId259"/>
    <hyperlink ref="K476" r:id="rId260"/>
    <hyperlink ref="J477" r:id="rId261"/>
    <hyperlink ref="K477" r:id="rId262"/>
    <hyperlink ref="J478" r:id="rId263"/>
    <hyperlink ref="K478" r:id="rId264"/>
    <hyperlink ref="J479" r:id="rId265"/>
    <hyperlink ref="K479" r:id="rId266"/>
    <hyperlink ref="K480" r:id="rId267"/>
    <hyperlink ref="J481" r:id="rId268"/>
    <hyperlink ref="J485" r:id="rId269"/>
    <hyperlink ref="J486" r:id="rId270"/>
    <hyperlink ref="J487" r:id="rId271"/>
    <hyperlink ref="J493" r:id="rId272"/>
    <hyperlink ref="J498" r:id="rId273"/>
    <hyperlink ref="J502" r:id="rId274"/>
    <hyperlink ref="J503" r:id="rId275"/>
    <hyperlink ref="K504" r:id="rId276"/>
    <hyperlink ref="O504" r:id="rId277"/>
    <hyperlink ref="J510" r:id="rId278"/>
    <hyperlink ref="J514" r:id="rId279"/>
    <hyperlink ref="O514" r:id="rId280"/>
    <hyperlink ref="J517" r:id="rId281"/>
    <hyperlink ref="J520" r:id="rId282"/>
    <hyperlink ref="J528" r:id="rId283"/>
    <hyperlink ref="O532" r:id="rId284"/>
    <hyperlink ref="O535" r:id="rId285"/>
    <hyperlink ref="J543" r:id="rId286"/>
    <hyperlink ref="K543" r:id="rId287"/>
    <hyperlink ref="J545" r:id="rId288"/>
    <hyperlink ref="J552" r:id="rId289"/>
    <hyperlink ref="O573" r:id="rId290"/>
    <hyperlink ref="J585" r:id="rId291"/>
    <hyperlink ref="O589" r:id="rId292"/>
    <hyperlink ref="J601" r:id="rId293"/>
    <hyperlink ref="J604" r:id="rId294"/>
    <hyperlink ref="K628" r:id="rId295"/>
    <hyperlink ref="J633" r:id="rId296"/>
    <hyperlink ref="J634" r:id="rId297"/>
    <hyperlink ref="J639" r:id="rId298"/>
    <hyperlink ref="O640" r:id="rId299"/>
    <hyperlink ref="K647" r:id="rId300"/>
    <hyperlink ref="O648" r:id="rId301"/>
    <hyperlink ref="L656" r:id="rId302"/>
    <hyperlink ref="J659" r:id="rId303"/>
    <hyperlink ref="K659" r:id="rId304"/>
    <hyperlink ref="J660" r:id="rId305"/>
    <hyperlink ref="K660" r:id="rId306"/>
    <hyperlink ref="J661" r:id="rId307"/>
    <hyperlink ref="K661" r:id="rId308"/>
    <hyperlink ref="J662" r:id="rId309"/>
    <hyperlink ref="K662" r:id="rId310"/>
    <hyperlink ref="J663" r:id="rId311"/>
    <hyperlink ref="K663" r:id="rId312"/>
    <hyperlink ref="J664" r:id="rId313"/>
    <hyperlink ref="K664" r:id="rId314"/>
    <hyperlink ref="J665" r:id="rId315"/>
    <hyperlink ref="K665" r:id="rId316"/>
    <hyperlink ref="J666" r:id="rId317"/>
    <hyperlink ref="K666" r:id="rId318"/>
    <hyperlink ref="K668" r:id="rId319"/>
    <hyperlink ref="O669" r:id="rId320"/>
    <hyperlink ref="J670" r:id="rId321"/>
    <hyperlink ref="K670" r:id="rId322"/>
    <hyperlink ref="K671" r:id="rId323"/>
    <hyperlink ref="L671" r:id="rId324"/>
    <hyperlink ref="J672" r:id="rId325"/>
    <hyperlink ref="K672" r:id="rId326"/>
    <hyperlink ref="L672" r:id="rId327"/>
    <hyperlink ref="J673" r:id="rId328"/>
    <hyperlink ref="K673" r:id="rId329"/>
    <hyperlink ref="L674" r:id="rId330"/>
    <hyperlink ref="K676" r:id="rId331"/>
    <hyperlink ref="L676" r:id="rId332"/>
    <hyperlink ref="J677" r:id="rId333"/>
    <hyperlink ref="K677" r:id="rId334"/>
    <hyperlink ref="L677" r:id="rId335"/>
    <hyperlink ref="J678" r:id="rId336"/>
    <hyperlink ref="K678" r:id="rId337"/>
    <hyperlink ref="L678" r:id="rId338"/>
    <hyperlink ref="K679" r:id="rId339"/>
    <hyperlink ref="L679" r:id="rId340"/>
    <hyperlink ref="K680" r:id="rId341"/>
    <hyperlink ref="L680" r:id="rId342"/>
    <hyperlink ref="K681" r:id="rId343"/>
    <hyperlink ref="K682" r:id="rId344"/>
    <hyperlink ref="L682" r:id="rId345"/>
    <hyperlink ref="K683" r:id="rId346"/>
    <hyperlink ref="L683" r:id="rId347"/>
    <hyperlink ref="J684" r:id="rId348"/>
    <hyperlink ref="J685" r:id="rId349"/>
    <hyperlink ref="K685" r:id="rId350"/>
    <hyperlink ref="L685" r:id="rId351"/>
    <hyperlink ref="J686" r:id="rId352"/>
    <hyperlink ref="K686" r:id="rId353"/>
    <hyperlink ref="L686" r:id="rId354"/>
    <hyperlink ref="J687" r:id="rId355"/>
    <hyperlink ref="K687" r:id="rId356"/>
    <hyperlink ref="O687" r:id="rId357"/>
    <hyperlink ref="K688" r:id="rId358"/>
    <hyperlink ref="L688" r:id="rId359"/>
    <hyperlink ref="K689" r:id="rId360"/>
    <hyperlink ref="L689" r:id="rId361"/>
    <hyperlink ref="J690" r:id="rId362"/>
    <hyperlink ref="K690" r:id="rId363"/>
    <hyperlink ref="L690" r:id="rId364"/>
    <hyperlink ref="K691" r:id="rId365"/>
    <hyperlink ref="L691" r:id="rId366"/>
    <hyperlink ref="K692" r:id="rId367"/>
    <hyperlink ref="L692" r:id="rId368"/>
    <hyperlink ref="J693" r:id="rId369"/>
    <hyperlink ref="K693" r:id="rId370"/>
    <hyperlink ref="K694" r:id="rId371"/>
    <hyperlink ref="L694" r:id="rId372"/>
    <hyperlink ref="K695" r:id="rId373"/>
    <hyperlink ref="L695" r:id="rId374"/>
    <hyperlink ref="J697" r:id="rId375"/>
    <hyperlink ref="O697" r:id="rId376"/>
    <hyperlink ref="K698" r:id="rId377"/>
    <hyperlink ref="L698" r:id="rId378"/>
    <hyperlink ref="K699" r:id="rId379"/>
    <hyperlink ref="L699" r:id="rId380"/>
    <hyperlink ref="J700" r:id="rId381"/>
    <hyperlink ref="K700" r:id="rId382"/>
    <hyperlink ref="L700" r:id="rId383"/>
    <hyperlink ref="O700" r:id="rId384"/>
    <hyperlink ref="J701" r:id="rId385"/>
    <hyperlink ref="K701" r:id="rId386"/>
    <hyperlink ref="L701" r:id="rId387"/>
    <hyperlink ref="L702" r:id="rId388"/>
    <hyperlink ref="J703" r:id="rId389"/>
    <hyperlink ref="K703" r:id="rId390"/>
    <hyperlink ref="L703" r:id="rId391"/>
    <hyperlink ref="J704" r:id="rId392"/>
    <hyperlink ref="K704" r:id="rId393"/>
    <hyperlink ref="L704" r:id="rId394"/>
    <hyperlink ref="J706" r:id="rId395"/>
    <hyperlink ref="K706" r:id="rId396"/>
    <hyperlink ref="L706" r:id="rId397"/>
    <hyperlink ref="J707" r:id="rId398"/>
    <hyperlink ref="K707" r:id="rId399"/>
    <hyperlink ref="L707" r:id="rId400"/>
    <hyperlink ref="J708" r:id="rId401"/>
    <hyperlink ref="L708" r:id="rId402"/>
    <hyperlink ref="J709" r:id="rId403"/>
    <hyperlink ref="L709" r:id="rId404"/>
    <hyperlink ref="O709" r:id="rId405"/>
    <hyperlink ref="J710" r:id="rId406"/>
    <hyperlink ref="K710" r:id="rId407"/>
    <hyperlink ref="L710" r:id="rId408"/>
    <hyperlink ref="K711" r:id="rId409"/>
    <hyperlink ref="J712" r:id="rId410"/>
    <hyperlink ref="K712" r:id="rId411"/>
    <hyperlink ref="J713" r:id="rId412"/>
    <hyperlink ref="K713" r:id="rId413"/>
    <hyperlink ref="J714" r:id="rId414"/>
    <hyperlink ref="K714" r:id="rId415"/>
    <hyperlink ref="L714" r:id="rId416"/>
    <hyperlink ref="L715" r:id="rId417"/>
    <hyperlink ref="J716" r:id="rId418"/>
    <hyperlink ref="K716" r:id="rId419"/>
    <hyperlink ref="L716" r:id="rId420"/>
    <hyperlink ref="J717" r:id="rId421"/>
    <hyperlink ref="K717" r:id="rId422"/>
    <hyperlink ref="L717" r:id="rId423"/>
    <hyperlink ref="J718" r:id="rId424"/>
    <hyperlink ref="K718" r:id="rId425"/>
    <hyperlink ref="L718" r:id="rId426"/>
    <hyperlink ref="K719" r:id="rId427"/>
    <hyperlink ref="L719" r:id="rId428"/>
    <hyperlink ref="J720" r:id="rId429"/>
    <hyperlink ref="K720" r:id="rId430"/>
    <hyperlink ref="L720" r:id="rId431"/>
    <hyperlink ref="O720" r:id="rId432"/>
    <hyperlink ref="K721" r:id="rId433"/>
    <hyperlink ref="L721" r:id="rId434"/>
    <hyperlink ref="J722" r:id="rId435"/>
    <hyperlink ref="K722" r:id="rId436"/>
    <hyperlink ref="L722" r:id="rId437"/>
    <hyperlink ref="K723" r:id="rId438"/>
    <hyperlink ref="L723" r:id="rId439"/>
    <hyperlink ref="J724" r:id="rId440"/>
    <hyperlink ref="K724" r:id="rId441"/>
    <hyperlink ref="L724" r:id="rId442"/>
    <hyperlink ref="K725" r:id="rId443"/>
    <hyperlink ref="J726" r:id="rId444"/>
    <hyperlink ref="L726" r:id="rId445"/>
    <hyperlink ref="J727" r:id="rId446"/>
    <hyperlink ref="K727" r:id="rId447"/>
    <hyperlink ref="L727" r:id="rId448"/>
    <hyperlink ref="J728" r:id="rId449"/>
    <hyperlink ref="K728" r:id="rId450"/>
    <hyperlink ref="L728" r:id="rId451"/>
    <hyperlink ref="J729" r:id="rId452"/>
    <hyperlink ref="L729" r:id="rId453"/>
    <hyperlink ref="K730" r:id="rId454"/>
    <hyperlink ref="L730" r:id="rId455"/>
    <hyperlink ref="J731" r:id="rId456"/>
    <hyperlink ref="K731" r:id="rId457"/>
    <hyperlink ref="L731" r:id="rId458"/>
    <hyperlink ref="K732" r:id="rId459"/>
    <hyperlink ref="L732" r:id="rId460"/>
    <hyperlink ref="L733" r:id="rId461"/>
    <hyperlink ref="K734" r:id="rId462"/>
    <hyperlink ref="L734" r:id="rId463"/>
    <hyperlink ref="K735" r:id="rId464"/>
    <hyperlink ref="L735" r:id="rId465"/>
    <hyperlink ref="J736" r:id="rId466"/>
    <hyperlink ref="K736" r:id="rId467"/>
    <hyperlink ref="L736" r:id="rId468"/>
    <hyperlink ref="J737" r:id="rId469"/>
    <hyperlink ref="K737" r:id="rId470"/>
    <hyperlink ref="L737" r:id="rId471"/>
    <hyperlink ref="J8" r:id="rId472"/>
  </hyperlinks>
  <pageMargins left="0.7" right="0.7" top="0.78740157499999996" bottom="0.78740157499999996" header="0" footer="0"/>
  <pageSetup paperSize="9" orientation="portrait" r:id="rId473"/>
  <drawing r:id="rId47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K100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 customHeight="1"/>
  <cols>
    <col min="1" max="1" width="7.5703125" customWidth="1"/>
    <col min="2" max="2" width="20.42578125" customWidth="1"/>
    <col min="3" max="3" width="42" customWidth="1"/>
    <col min="4" max="4" width="32.28515625" customWidth="1"/>
    <col min="5" max="5" width="36.85546875" customWidth="1"/>
    <col min="6" max="6" width="23.140625" customWidth="1"/>
    <col min="7" max="7" width="13.28515625" customWidth="1"/>
    <col min="8" max="8" width="8.5703125" customWidth="1"/>
    <col min="9" max="9" width="39" customWidth="1"/>
    <col min="10" max="10" width="44.42578125" customWidth="1"/>
    <col min="11" max="11" width="21.42578125" customWidth="1"/>
    <col min="12" max="12" width="7.5703125" customWidth="1"/>
    <col min="13" max="13" width="16.28515625" customWidth="1"/>
    <col min="14" max="14" width="19.42578125" customWidth="1"/>
    <col min="15" max="15" width="7.5703125" customWidth="1"/>
    <col min="16" max="16" width="77.7109375" customWidth="1"/>
    <col min="17" max="17" width="39" customWidth="1"/>
    <col min="18" max="18" width="23.28515625" customWidth="1"/>
    <col min="19" max="19" width="11.28515625" customWidth="1"/>
    <col min="20" max="20" width="10.7109375" customWidth="1"/>
    <col min="21" max="28" width="7.5703125" customWidth="1"/>
    <col min="29" max="29" width="7.140625" customWidth="1"/>
    <col min="30" max="30" width="13.85546875" customWidth="1"/>
    <col min="31" max="31" width="19.5703125" customWidth="1"/>
    <col min="32" max="32" width="22.5703125" customWidth="1"/>
    <col min="33" max="37" width="11.5703125" customWidth="1"/>
  </cols>
  <sheetData>
    <row r="1" spans="1:37">
      <c r="A1" s="2" t="s">
        <v>0</v>
      </c>
      <c r="B1" s="2" t="s">
        <v>2</v>
      </c>
      <c r="C1" s="2" t="s">
        <v>3</v>
      </c>
      <c r="D1" s="2" t="s">
        <v>5</v>
      </c>
      <c r="E1" s="1" t="s">
        <v>6</v>
      </c>
      <c r="F1" s="2" t="s">
        <v>8</v>
      </c>
      <c r="G1" s="5" t="s">
        <v>9</v>
      </c>
      <c r="H1" s="2" t="s">
        <v>10</v>
      </c>
      <c r="I1" s="2" t="s">
        <v>11</v>
      </c>
      <c r="J1" s="2" t="s">
        <v>12</v>
      </c>
      <c r="K1" s="2" t="s">
        <v>13</v>
      </c>
      <c r="L1" s="2" t="s">
        <v>14</v>
      </c>
      <c r="M1" s="2" t="s">
        <v>15</v>
      </c>
      <c r="N1" s="2" t="s">
        <v>16</v>
      </c>
      <c r="O1" s="2" t="s">
        <v>17</v>
      </c>
      <c r="P1" s="2" t="s">
        <v>26</v>
      </c>
      <c r="Q1" s="2" t="s">
        <v>18</v>
      </c>
      <c r="R1" s="2" t="s">
        <v>19</v>
      </c>
      <c r="S1" s="3" t="s">
        <v>20</v>
      </c>
      <c r="T1" s="3" t="s">
        <v>21</v>
      </c>
      <c r="U1" s="2">
        <v>2010</v>
      </c>
      <c r="V1" s="2">
        <v>2011</v>
      </c>
      <c r="W1" s="2">
        <v>2012</v>
      </c>
      <c r="X1" s="2">
        <v>2013</v>
      </c>
      <c r="Y1" s="2">
        <v>2014</v>
      </c>
      <c r="Z1" s="2">
        <v>2015</v>
      </c>
      <c r="AA1" s="2">
        <v>2016</v>
      </c>
      <c r="AB1" s="2">
        <v>2017</v>
      </c>
      <c r="AC1" s="2">
        <v>2018</v>
      </c>
      <c r="AD1" s="1" t="s">
        <v>28</v>
      </c>
      <c r="AE1" s="4" t="s">
        <v>29</v>
      </c>
      <c r="AF1" s="7" t="s">
        <v>30</v>
      </c>
    </row>
    <row r="2" spans="1:37">
      <c r="A2" s="6">
        <v>1</v>
      </c>
      <c r="B2" s="6" t="s">
        <v>35</v>
      </c>
      <c r="C2" s="6" t="s">
        <v>36</v>
      </c>
      <c r="D2" s="6" t="s">
        <v>35</v>
      </c>
      <c r="E2" s="9" t="s">
        <v>37</v>
      </c>
      <c r="F2" s="6" t="s">
        <v>38</v>
      </c>
      <c r="G2" s="11">
        <v>2014</v>
      </c>
      <c r="H2" s="6"/>
      <c r="I2" s="13" t="str">
        <f>HYPERLINK("http://www.pivovar-frydlant.com","http://www.pivovar-frydlant.com")</f>
        <v>http://www.pivovar-frydlant.com</v>
      </c>
      <c r="J2" s="13" t="str">
        <f>HYPERLINK("https://www.facebook.com/ZameckyPivovarFrydlant","https://www.facebook.com/ZameckyPivovarFrydlant")</f>
        <v>https://www.facebook.com/ZameckyPivovarFrydlant</v>
      </c>
      <c r="K2" s="6" t="s">
        <v>41</v>
      </c>
      <c r="L2" s="6"/>
      <c r="M2" s="6" t="s">
        <v>42</v>
      </c>
      <c r="N2" s="6"/>
      <c r="O2" s="6" t="s">
        <v>43</v>
      </c>
      <c r="P2" s="6" t="s">
        <v>44</v>
      </c>
      <c r="Q2" s="15" t="s">
        <v>45</v>
      </c>
      <c r="R2" s="6" t="s">
        <v>46</v>
      </c>
      <c r="S2" s="6">
        <v>50.914668900000002</v>
      </c>
      <c r="T2" s="6">
        <v>15.0869114</v>
      </c>
      <c r="U2" s="6"/>
      <c r="V2" s="6"/>
      <c r="W2" s="6"/>
      <c r="X2" s="6"/>
      <c r="Y2" s="6"/>
      <c r="Z2" s="6"/>
      <c r="AA2" s="6" t="s">
        <v>47</v>
      </c>
      <c r="AB2" s="6"/>
      <c r="AD2" s="6"/>
      <c r="AE2" s="16"/>
      <c r="AF2" t="str">
        <f t="shared" ref="AF2:AF474" si="0">IF(COUNTIF(U2:AE2,"ANO"),"ANO","")</f>
        <v>ANO</v>
      </c>
    </row>
    <row r="3" spans="1:37">
      <c r="A3" s="6">
        <v>2</v>
      </c>
      <c r="B3" s="6" t="s">
        <v>53</v>
      </c>
      <c r="C3" s="6" t="s">
        <v>54</v>
      </c>
      <c r="D3" s="6" t="s">
        <v>55</v>
      </c>
      <c r="E3" s="9" t="s">
        <v>56</v>
      </c>
      <c r="F3" s="12" t="s">
        <v>57</v>
      </c>
      <c r="G3" s="11">
        <v>2011</v>
      </c>
      <c r="H3" s="6"/>
      <c r="I3" s="13" t="str">
        <f t="shared" ref="I3:I4" si="1">HYPERLINK("http://www.pivovarantos.cz","http://www.pivovarantos.cz")</f>
        <v>http://www.pivovarantos.cz</v>
      </c>
      <c r="J3" s="13" t="str">
        <f t="shared" ref="J3:J4" si="2">HYPERLINK("https://www.facebook.com/pivovarantos","https://www.facebook.com/pivovarantos")</f>
        <v>https://www.facebook.com/pivovarantos</v>
      </c>
      <c r="K3" s="6" t="s">
        <v>61</v>
      </c>
      <c r="L3" s="6"/>
      <c r="M3" s="6" t="s">
        <v>62</v>
      </c>
      <c r="N3" s="6"/>
      <c r="O3" s="6" t="s">
        <v>63</v>
      </c>
      <c r="P3" s="6"/>
      <c r="Q3" s="6"/>
      <c r="R3" s="12" t="s">
        <v>64</v>
      </c>
      <c r="S3" s="12">
        <v>50.225639999999999</v>
      </c>
      <c r="T3" s="12">
        <v>14.105130000000001</v>
      </c>
      <c r="U3" s="6"/>
      <c r="V3" s="6"/>
      <c r="W3" s="6"/>
      <c r="X3" s="6"/>
      <c r="Y3" s="6"/>
      <c r="Z3" s="6"/>
      <c r="AA3" s="6"/>
      <c r="AB3" s="6"/>
      <c r="AD3" s="6"/>
      <c r="AE3" s="17"/>
      <c r="AF3" t="str">
        <f t="shared" si="0"/>
        <v/>
      </c>
    </row>
    <row r="4" spans="1:37">
      <c r="A4" s="6">
        <v>2</v>
      </c>
      <c r="B4" s="12" t="s">
        <v>65</v>
      </c>
      <c r="C4" s="12" t="s">
        <v>66</v>
      </c>
      <c r="D4" s="6" t="s">
        <v>55</v>
      </c>
      <c r="E4" s="9" t="s">
        <v>70</v>
      </c>
      <c r="F4" s="6" t="s">
        <v>73</v>
      </c>
      <c r="G4" s="11">
        <v>2011</v>
      </c>
      <c r="H4" s="6"/>
      <c r="I4" s="13" t="str">
        <f t="shared" si="1"/>
        <v>http://www.pivovarantos.cz</v>
      </c>
      <c r="J4" s="13" t="str">
        <f t="shared" si="2"/>
        <v>https://www.facebook.com/pivovarantos</v>
      </c>
      <c r="K4" s="6" t="s">
        <v>61</v>
      </c>
      <c r="L4" s="6"/>
      <c r="M4" s="6" t="s">
        <v>62</v>
      </c>
      <c r="N4" s="6"/>
      <c r="O4" s="6" t="s">
        <v>63</v>
      </c>
      <c r="P4" s="6"/>
      <c r="Q4" s="6" t="s">
        <v>79</v>
      </c>
      <c r="R4" s="6" t="s">
        <v>81</v>
      </c>
      <c r="S4" s="6">
        <v>50.229999399999997</v>
      </c>
      <c r="T4" s="6">
        <v>14.0885894</v>
      </c>
      <c r="U4" s="6"/>
      <c r="V4" s="6"/>
      <c r="W4" s="6"/>
      <c r="X4" s="6" t="s">
        <v>47</v>
      </c>
      <c r="Y4" s="6"/>
      <c r="Z4" s="6"/>
      <c r="AA4" s="6"/>
      <c r="AB4" s="6"/>
      <c r="AD4" s="6"/>
      <c r="AE4" s="17" t="s">
        <v>47</v>
      </c>
      <c r="AF4" t="str">
        <f t="shared" si="0"/>
        <v>ANO</v>
      </c>
    </row>
    <row r="5" spans="1:37" ht="16.5" customHeight="1">
      <c r="A5" s="6">
        <v>3</v>
      </c>
      <c r="B5" s="6" t="s">
        <v>74</v>
      </c>
      <c r="C5" s="6" t="s">
        <v>75</v>
      </c>
      <c r="D5" s="6" t="s">
        <v>76</v>
      </c>
      <c r="E5" s="9" t="s">
        <v>77</v>
      </c>
      <c r="F5" s="6" t="s">
        <v>91</v>
      </c>
      <c r="G5" s="11">
        <v>2004</v>
      </c>
      <c r="H5" s="6">
        <v>79000</v>
      </c>
      <c r="I5" s="13" t="str">
        <f>HYPERLINK("http://www.pivobakalar.cz","http://www.pivobakalar.cz")</f>
        <v>http://www.pivobakalar.cz</v>
      </c>
      <c r="J5" s="13" t="str">
        <f>HYPERLINK("https://www.facebook.com/pivobakalar","https://www.facebook.com/pivobakalar")</f>
        <v>https://www.facebook.com/pivobakalar</v>
      </c>
      <c r="K5" s="6" t="s">
        <v>80</v>
      </c>
      <c r="L5" s="6"/>
      <c r="M5" s="6" t="s">
        <v>82</v>
      </c>
      <c r="N5" s="6"/>
      <c r="O5" s="6" t="s">
        <v>83</v>
      </c>
      <c r="P5" s="6"/>
      <c r="Q5" s="6"/>
      <c r="R5" s="6" t="s">
        <v>84</v>
      </c>
      <c r="S5" s="6">
        <v>50.106448299999997</v>
      </c>
      <c r="T5" s="6">
        <v>13.7276244</v>
      </c>
      <c r="U5" s="6"/>
      <c r="V5" s="6"/>
      <c r="W5" s="6"/>
      <c r="X5" s="6"/>
      <c r="Y5" s="6"/>
      <c r="Z5" s="6"/>
      <c r="AA5" s="6"/>
      <c r="AB5" s="6"/>
      <c r="AD5" s="6"/>
      <c r="AE5" s="16"/>
      <c r="AF5" t="str">
        <f t="shared" si="0"/>
        <v/>
      </c>
    </row>
    <row r="6" spans="1:37">
      <c r="A6" s="6">
        <v>4</v>
      </c>
      <c r="B6" s="6" t="s">
        <v>31</v>
      </c>
      <c r="C6" s="6" t="s">
        <v>32</v>
      </c>
      <c r="D6" s="6" t="s">
        <v>33</v>
      </c>
      <c r="E6" s="9" t="s">
        <v>34</v>
      </c>
      <c r="F6" s="6" t="s">
        <v>73</v>
      </c>
      <c r="G6" s="11">
        <v>2007</v>
      </c>
      <c r="H6" s="6">
        <v>3500</v>
      </c>
      <c r="I6" s="13" t="str">
        <f>HYPERLINK("http://www.ubansethu.cz","http://www.ubansethu.cz")</f>
        <v>http://www.ubansethu.cz</v>
      </c>
      <c r="J6" s="13" t="str">
        <f>HYPERLINK("https://www.facebook.com/sousedskypivovarbasta","https://www.facebook.com/sousedskypivovarbasta")</f>
        <v>https://www.facebook.com/sousedskypivovarbasta</v>
      </c>
      <c r="K6" s="6" t="s">
        <v>48</v>
      </c>
      <c r="L6" s="6"/>
      <c r="M6" s="6" t="s">
        <v>49</v>
      </c>
      <c r="N6" s="6" t="s">
        <v>50</v>
      </c>
      <c r="O6" s="6" t="s">
        <v>31</v>
      </c>
      <c r="P6" s="6"/>
      <c r="Q6" s="6"/>
      <c r="R6" s="6" t="s">
        <v>51</v>
      </c>
      <c r="S6" s="6">
        <v>50.062899999999999</v>
      </c>
      <c r="T6" s="6">
        <v>14.4398961</v>
      </c>
      <c r="U6" s="6"/>
      <c r="V6" s="6"/>
      <c r="W6" s="6"/>
      <c r="X6" s="6"/>
      <c r="Y6" s="6"/>
      <c r="Z6" s="6"/>
      <c r="AA6" s="6"/>
      <c r="AB6" s="6"/>
      <c r="AD6" s="6"/>
      <c r="AE6" s="17" t="s">
        <v>47</v>
      </c>
      <c r="AF6" t="str">
        <f t="shared" si="0"/>
        <v>ANO</v>
      </c>
    </row>
    <row r="7" spans="1:37">
      <c r="A7" s="19">
        <v>4</v>
      </c>
      <c r="B7" s="20" t="s">
        <v>85</v>
      </c>
      <c r="C7" s="20" t="s">
        <v>86</v>
      </c>
      <c r="D7" s="16" t="s">
        <v>87</v>
      </c>
      <c r="E7" s="23" t="s">
        <v>88</v>
      </c>
      <c r="F7" s="20" t="s">
        <v>113</v>
      </c>
      <c r="G7" s="24">
        <v>1998.2012999999999</v>
      </c>
      <c r="H7" s="19">
        <v>300</v>
      </c>
      <c r="I7" s="20"/>
      <c r="J7" s="20"/>
      <c r="K7" s="26" t="s">
        <v>92</v>
      </c>
      <c r="L7" s="20"/>
      <c r="M7" s="20"/>
      <c r="N7" s="20" t="s">
        <v>93</v>
      </c>
      <c r="O7" s="20" t="s">
        <v>94</v>
      </c>
      <c r="P7" s="20"/>
      <c r="Q7" s="27" t="s">
        <v>95</v>
      </c>
      <c r="R7" s="20" t="s">
        <v>96</v>
      </c>
      <c r="S7" s="19">
        <v>49.0280244</v>
      </c>
      <c r="T7" s="19">
        <v>17.6429908</v>
      </c>
      <c r="U7" s="20"/>
      <c r="V7" s="20"/>
      <c r="W7" s="20"/>
      <c r="X7" s="20"/>
      <c r="Y7" s="20"/>
      <c r="Z7" s="20"/>
      <c r="AA7" s="20"/>
      <c r="AB7" s="20"/>
      <c r="AC7" s="20"/>
      <c r="AD7" s="20"/>
      <c r="AE7" s="20"/>
      <c r="AF7" t="str">
        <f t="shared" si="0"/>
        <v/>
      </c>
      <c r="AG7" s="20"/>
      <c r="AH7" s="20"/>
      <c r="AI7" s="20"/>
      <c r="AJ7" s="20"/>
      <c r="AK7" s="20"/>
    </row>
    <row r="8" spans="1:37">
      <c r="A8" s="6">
        <v>5</v>
      </c>
      <c r="B8" s="6" t="s">
        <v>134</v>
      </c>
      <c r="C8" s="6" t="s">
        <v>136</v>
      </c>
      <c r="D8" s="6" t="s">
        <v>138</v>
      </c>
      <c r="E8" s="9" t="s">
        <v>139</v>
      </c>
      <c r="F8" s="6" t="s">
        <v>73</v>
      </c>
      <c r="G8" s="11">
        <v>2013</v>
      </c>
      <c r="H8" s="6"/>
      <c r="I8" s="13" t="str">
        <f>HYPERLINK("http://www.novyrybnik.com","http://www.novyrybnik.com")</f>
        <v>http://www.novyrybnik.com</v>
      </c>
      <c r="J8" s="13" t="str">
        <f>HYPERLINK("https://www.facebook.com/PenzionNovyRybnik","https://www.facebook.com/PenzionNovyRybnik")</f>
        <v>https://www.facebook.com/PenzionNovyRybnik</v>
      </c>
      <c r="K8" s="6" t="s">
        <v>152</v>
      </c>
      <c r="L8" s="6"/>
      <c r="M8" s="6" t="s">
        <v>153</v>
      </c>
      <c r="N8" s="6"/>
      <c r="O8" s="6" t="s">
        <v>154</v>
      </c>
      <c r="P8" s="6"/>
      <c r="Q8" s="6"/>
      <c r="R8" s="6" t="s">
        <v>155</v>
      </c>
      <c r="S8" s="6">
        <v>49.749811399999999</v>
      </c>
      <c r="T8" s="6">
        <v>14.1431103</v>
      </c>
      <c r="U8" s="6"/>
      <c r="V8" s="6"/>
      <c r="W8" s="6"/>
      <c r="X8" s="6"/>
      <c r="Y8" s="6"/>
      <c r="Z8" s="6" t="s">
        <v>47</v>
      </c>
      <c r="AA8" s="6"/>
      <c r="AB8" s="6"/>
      <c r="AD8" s="6"/>
      <c r="AE8" s="16"/>
      <c r="AF8" t="str">
        <f t="shared" si="0"/>
        <v>ANO</v>
      </c>
    </row>
    <row r="9" spans="1:37">
      <c r="A9" s="6">
        <v>6</v>
      </c>
      <c r="B9" s="6" t="s">
        <v>158</v>
      </c>
      <c r="C9" s="6" t="s">
        <v>159</v>
      </c>
      <c r="D9" s="6" t="s">
        <v>160</v>
      </c>
      <c r="E9" s="9" t="s">
        <v>161</v>
      </c>
      <c r="F9" s="6" t="s">
        <v>73</v>
      </c>
      <c r="G9" s="11">
        <v>1993</v>
      </c>
      <c r="H9" s="6">
        <v>170</v>
      </c>
      <c r="I9" s="13" t="str">
        <f>HYPERLINK("http://pivovaruhusku.webnode.cz","http://pivovaruhusku.webnode.cz")</f>
        <v>http://pivovaruhusku.webnode.cz</v>
      </c>
      <c r="J9" s="13" t="str">
        <f>HYPERLINK("https://www.facebook.com/Hostinec-a-Pivovar-U-Hu%C5%A1k%C5%AF-362819800489056","https://www.facebook.com/Hostinec-a-Pivovar-U-Hu%C5%A1k%C5%AF-362819800489056")</f>
        <v>https://www.facebook.com/Hostinec-a-Pivovar-U-Hu%C5%A1k%C5%AF-362819800489056</v>
      </c>
      <c r="K9" s="6" t="s">
        <v>162</v>
      </c>
      <c r="L9" s="6"/>
      <c r="M9" s="6" t="s">
        <v>163</v>
      </c>
      <c r="N9" s="6"/>
      <c r="O9" s="6" t="s">
        <v>164</v>
      </c>
      <c r="P9" s="6"/>
      <c r="Q9" s="6"/>
      <c r="R9" s="6" t="s">
        <v>165</v>
      </c>
      <c r="S9" s="6">
        <v>50.197207200000001</v>
      </c>
      <c r="T9" s="6">
        <v>15.9418978</v>
      </c>
      <c r="U9" s="6"/>
      <c r="V9" s="6"/>
      <c r="W9" s="6" t="s">
        <v>47</v>
      </c>
      <c r="X9" s="6" t="s">
        <v>47</v>
      </c>
      <c r="Y9" s="6" t="s">
        <v>47</v>
      </c>
      <c r="Z9" s="6"/>
      <c r="AA9" s="6" t="s">
        <v>47</v>
      </c>
      <c r="AB9" s="6"/>
      <c r="AD9" s="6"/>
      <c r="AE9" s="16"/>
      <c r="AF9" t="str">
        <f t="shared" si="0"/>
        <v>ANO</v>
      </c>
    </row>
    <row r="10" spans="1:37">
      <c r="A10" s="6">
        <v>7</v>
      </c>
      <c r="B10" s="6" t="s">
        <v>166</v>
      </c>
      <c r="C10" s="6" t="s">
        <v>167</v>
      </c>
      <c r="D10" s="6" t="s">
        <v>168</v>
      </c>
      <c r="E10" s="9" t="s">
        <v>169</v>
      </c>
      <c r="F10" s="6" t="s">
        <v>73</v>
      </c>
      <c r="G10" s="11">
        <v>2007</v>
      </c>
      <c r="H10" s="6">
        <v>500</v>
      </c>
      <c r="I10" s="13" t="str">
        <f>HYPERLINK("http://www.hotelbelveder.cz","http://www.hotelbelveder.cz")</f>
        <v>http://www.hotelbelveder.cz</v>
      </c>
      <c r="J10" s="6"/>
      <c r="K10" s="6" t="s">
        <v>170</v>
      </c>
      <c r="L10" s="6"/>
      <c r="M10" s="6" t="s">
        <v>171</v>
      </c>
      <c r="N10" s="6"/>
      <c r="O10" s="6" t="s">
        <v>172</v>
      </c>
      <c r="P10" s="6"/>
      <c r="Q10" s="6"/>
      <c r="R10" s="6" t="s">
        <v>173</v>
      </c>
      <c r="S10" s="6">
        <v>49.143136900000002</v>
      </c>
      <c r="T10" s="6">
        <v>13.2395017</v>
      </c>
      <c r="U10" s="6"/>
      <c r="V10" s="6"/>
      <c r="W10" s="6"/>
      <c r="X10" s="6"/>
      <c r="Y10" s="6"/>
      <c r="Z10" s="6"/>
      <c r="AA10" s="6"/>
      <c r="AB10" s="6"/>
      <c r="AD10" s="6"/>
      <c r="AE10" s="16"/>
      <c r="AF10" t="str">
        <f t="shared" si="0"/>
        <v/>
      </c>
    </row>
    <row r="11" spans="1:37">
      <c r="A11" s="6">
        <v>8</v>
      </c>
      <c r="B11" s="6" t="s">
        <v>174</v>
      </c>
      <c r="C11" s="6" t="s">
        <v>175</v>
      </c>
      <c r="D11" s="6" t="s">
        <v>176</v>
      </c>
      <c r="E11" s="9" t="s">
        <v>177</v>
      </c>
      <c r="F11" s="6" t="s">
        <v>91</v>
      </c>
      <c r="G11" s="11">
        <v>1597</v>
      </c>
      <c r="H11" s="6">
        <v>315000</v>
      </c>
      <c r="I11" s="13" t="str">
        <f>HYPERLINK("http://www.bernard.cz","http://www.bernard.cz")</f>
        <v>http://www.bernard.cz</v>
      </c>
      <c r="J11" s="13" t="str">
        <f>HYPERLINK("https://www.facebook.com/bernard.cz","https://www.facebook.com/bernard.cz")</f>
        <v>https://www.facebook.com/bernard.cz</v>
      </c>
      <c r="K11" s="6" t="s">
        <v>178</v>
      </c>
      <c r="L11" s="6"/>
      <c r="M11" s="6" t="s">
        <v>179</v>
      </c>
      <c r="N11" s="6"/>
      <c r="O11" s="6" t="s">
        <v>174</v>
      </c>
      <c r="P11" s="6"/>
      <c r="Q11" s="6"/>
      <c r="R11" s="6" t="s">
        <v>180</v>
      </c>
      <c r="S11" s="28">
        <v>49.540111699999997</v>
      </c>
      <c r="T11" s="28">
        <v>15.3599669</v>
      </c>
      <c r="U11" s="6"/>
      <c r="V11" s="6"/>
      <c r="W11" s="6"/>
      <c r="X11" s="6"/>
      <c r="Y11" s="6"/>
      <c r="Z11" s="6"/>
      <c r="AA11" s="6" t="s">
        <v>47</v>
      </c>
      <c r="AB11" s="6"/>
      <c r="AD11" s="6"/>
      <c r="AE11" s="17" t="s">
        <v>47</v>
      </c>
      <c r="AF11" t="str">
        <f t="shared" si="0"/>
        <v>ANO</v>
      </c>
    </row>
    <row r="12" spans="1:37">
      <c r="A12" s="6">
        <v>9</v>
      </c>
      <c r="B12" s="6" t="s">
        <v>181</v>
      </c>
      <c r="C12" s="6" t="s">
        <v>182</v>
      </c>
      <c r="D12" s="6" t="s">
        <v>183</v>
      </c>
      <c r="E12" s="9" t="s">
        <v>184</v>
      </c>
      <c r="F12" s="6" t="s">
        <v>73</v>
      </c>
      <c r="G12" s="11">
        <v>1998</v>
      </c>
      <c r="H12" s="6">
        <v>800</v>
      </c>
      <c r="I12" s="13" t="str">
        <f>HYPERLINK("http://www.berounskymedved.com","http://www.berounskymedved.com")</f>
        <v>http://www.berounskymedved.com</v>
      </c>
      <c r="J12" s="13" t="str">
        <f>HYPERLINK("https://www.facebook.com/pages/Pivovar-Berounsk%C3%BD-Medv%C4%9Bd/545920648784165?fref=ts&amp;rf=165604436847583","https://www.facebook.com/pages/Pivovar-Berounsk%C3%BD-Medv%C4%9Bd/545920648784165?fref=ts&amp;rf=165604436847583")</f>
        <v>https://www.facebook.com/pages/Pivovar-Berounsk%C3%BD-Medv%C4%9Bd/545920648784165?fref=ts&amp;rf=165604436847583</v>
      </c>
      <c r="K12" s="6" t="s">
        <v>185</v>
      </c>
      <c r="L12" s="6"/>
      <c r="M12" s="6" t="s">
        <v>186</v>
      </c>
      <c r="N12" s="6"/>
      <c r="O12" s="6" t="s">
        <v>187</v>
      </c>
      <c r="P12" s="6" t="s">
        <v>188</v>
      </c>
      <c r="Q12" s="6" t="s">
        <v>189</v>
      </c>
      <c r="R12" s="6" t="s">
        <v>190</v>
      </c>
      <c r="S12" s="6">
        <v>49.956727800000003</v>
      </c>
      <c r="T12" s="6">
        <v>14.071892800000001</v>
      </c>
      <c r="U12" s="6"/>
      <c r="V12" s="6"/>
      <c r="W12" s="6"/>
      <c r="X12" s="6" t="s">
        <v>47</v>
      </c>
      <c r="Y12" s="6"/>
      <c r="Z12" s="6"/>
      <c r="AA12" s="6"/>
      <c r="AB12" s="6"/>
      <c r="AD12" s="6"/>
      <c r="AE12" s="16"/>
      <c r="AF12" t="str">
        <f t="shared" si="0"/>
        <v>ANO</v>
      </c>
    </row>
    <row r="13" spans="1:37">
      <c r="A13" s="6">
        <v>10</v>
      </c>
      <c r="B13" s="6" t="s">
        <v>191</v>
      </c>
      <c r="C13" s="6" t="s">
        <v>192</v>
      </c>
      <c r="D13" s="6" t="s">
        <v>193</v>
      </c>
      <c r="E13" s="9" t="s">
        <v>194</v>
      </c>
      <c r="F13" s="6" t="s">
        <v>38</v>
      </c>
      <c r="G13" s="11">
        <v>2013</v>
      </c>
      <c r="H13" s="6">
        <v>6500</v>
      </c>
      <c r="I13" s="13" t="str">
        <f>HYPERLINK("http://www.beskydskypivovarek.cz","http://www.beskydskypivovarek.cz")</f>
        <v>http://www.beskydskypivovarek.cz</v>
      </c>
      <c r="J13" s="13" t="str">
        <f>HYPERLINK("https://www.facebook.com/Beskydskypivovarek","https://www.facebook.com/Beskydskypivovarek")</f>
        <v>https://www.facebook.com/Beskydskypivovarek</v>
      </c>
      <c r="K13" s="6" t="s">
        <v>197</v>
      </c>
      <c r="L13" s="6"/>
      <c r="M13" s="6" t="s">
        <v>198</v>
      </c>
      <c r="N13" s="6"/>
      <c r="O13" s="6" t="s">
        <v>199</v>
      </c>
      <c r="P13" s="6"/>
      <c r="Q13" s="15" t="s">
        <v>200</v>
      </c>
      <c r="R13" s="6" t="s">
        <v>201</v>
      </c>
      <c r="S13" s="6">
        <v>49.532056099999998</v>
      </c>
      <c r="T13" s="6">
        <v>18.394929999999999</v>
      </c>
      <c r="U13" s="6"/>
      <c r="V13" s="6"/>
      <c r="W13" s="6"/>
      <c r="X13" s="6" t="s">
        <v>47</v>
      </c>
      <c r="Y13" s="6"/>
      <c r="Z13" s="6"/>
      <c r="AA13" s="6" t="s">
        <v>47</v>
      </c>
      <c r="AB13" s="6"/>
      <c r="AD13" s="6" t="s">
        <v>47</v>
      </c>
      <c r="AE13" s="17" t="s">
        <v>47</v>
      </c>
      <c r="AF13" t="str">
        <f t="shared" si="0"/>
        <v>ANO</v>
      </c>
    </row>
    <row r="14" spans="1:37">
      <c r="A14" s="6">
        <v>11</v>
      </c>
      <c r="B14" s="6" t="s">
        <v>203</v>
      </c>
      <c r="C14" s="6" t="s">
        <v>204</v>
      </c>
      <c r="D14" s="6" t="s">
        <v>205</v>
      </c>
      <c r="E14" s="9" t="s">
        <v>206</v>
      </c>
      <c r="F14" s="6" t="s">
        <v>73</v>
      </c>
      <c r="G14" s="11">
        <v>2013</v>
      </c>
      <c r="H14" s="6"/>
      <c r="I14" s="13" t="str">
        <f>HYPERLINK("http://skolicka.cz","http://skolicka.cz")</f>
        <v>http://skolicka.cz</v>
      </c>
      <c r="J14" s="13" t="str">
        <f>HYPERLINK("https://www.facebook.com/minipivovarbeznoska","https://www.facebook.com/minipivovarbeznoska")</f>
        <v>https://www.facebook.com/minipivovarbeznoska</v>
      </c>
      <c r="K14" s="6" t="s">
        <v>209</v>
      </c>
      <c r="L14" s="6"/>
      <c r="M14" s="6" t="s">
        <v>210</v>
      </c>
      <c r="N14" s="6"/>
      <c r="O14" s="6" t="s">
        <v>211</v>
      </c>
      <c r="P14" s="6" t="s">
        <v>212</v>
      </c>
      <c r="Q14" s="6"/>
      <c r="R14" s="6" t="s">
        <v>213</v>
      </c>
      <c r="S14" s="6">
        <v>50.117631000000003</v>
      </c>
      <c r="T14" s="6">
        <v>14.507141000000001</v>
      </c>
      <c r="U14" s="6"/>
      <c r="V14" s="6"/>
      <c r="W14" s="6"/>
      <c r="X14" s="6"/>
      <c r="Y14" s="6" t="s">
        <v>47</v>
      </c>
      <c r="Z14" s="6"/>
      <c r="AA14" s="6"/>
      <c r="AB14" s="6"/>
      <c r="AD14" s="6"/>
      <c r="AE14" s="17" t="s">
        <v>47</v>
      </c>
      <c r="AF14" t="str">
        <f t="shared" si="0"/>
        <v>ANO</v>
      </c>
    </row>
    <row r="15" spans="1:37">
      <c r="A15" s="6">
        <v>12</v>
      </c>
      <c r="B15" s="6" t="s">
        <v>214</v>
      </c>
      <c r="C15" s="6" t="s">
        <v>215</v>
      </c>
      <c r="D15" s="6" t="s">
        <v>214</v>
      </c>
      <c r="E15" s="9" t="s">
        <v>216</v>
      </c>
      <c r="F15" s="6" t="s">
        <v>57</v>
      </c>
      <c r="G15" s="18">
        <v>2004</v>
      </c>
      <c r="H15" s="6">
        <v>1000</v>
      </c>
      <c r="I15" s="13" t="str">
        <f>HYPERLINK("http://www.pivovarzasova.cz","http://www.pivovarzasova.cz")</f>
        <v>http://www.pivovarzasova.cz</v>
      </c>
      <c r="J15" s="13" t="str">
        <f>HYPERLINK("https://www.facebook.com/PivovarZasova","https://www.facebook.com/PivovarZasova")</f>
        <v>https://www.facebook.com/PivovarZasova</v>
      </c>
      <c r="K15" s="6" t="s">
        <v>219</v>
      </c>
      <c r="L15" s="6"/>
      <c r="M15" s="6" t="s">
        <v>220</v>
      </c>
      <c r="N15" s="6" t="s">
        <v>221</v>
      </c>
      <c r="O15" s="6" t="s">
        <v>222</v>
      </c>
      <c r="P15" s="6"/>
      <c r="Q15" s="15" t="s">
        <v>223</v>
      </c>
      <c r="R15" s="6" t="s">
        <v>224</v>
      </c>
      <c r="S15" s="6">
        <v>49.473637799999999</v>
      </c>
      <c r="T15" s="6">
        <v>18.046261699999999</v>
      </c>
      <c r="U15" s="6"/>
      <c r="V15" s="6"/>
      <c r="W15" s="6"/>
      <c r="X15" s="6"/>
      <c r="Y15" s="6"/>
      <c r="Z15" s="6"/>
      <c r="AA15" s="6"/>
      <c r="AB15" s="6"/>
      <c r="AD15" s="6"/>
      <c r="AE15" s="16"/>
      <c r="AF15" t="str">
        <f t="shared" si="0"/>
        <v/>
      </c>
    </row>
    <row r="16" spans="1:37">
      <c r="A16" s="19">
        <v>13</v>
      </c>
      <c r="B16" s="20" t="s">
        <v>225</v>
      </c>
      <c r="C16" s="20" t="s">
        <v>226</v>
      </c>
      <c r="D16" s="16" t="s">
        <v>228</v>
      </c>
      <c r="E16" s="23" t="s">
        <v>229</v>
      </c>
      <c r="F16" s="20" t="s">
        <v>113</v>
      </c>
      <c r="G16" s="24">
        <v>1994.2013999999999</v>
      </c>
      <c r="H16" s="20"/>
      <c r="I16" s="16" t="s">
        <v>230</v>
      </c>
      <c r="J16" s="20"/>
      <c r="K16" s="26" t="s">
        <v>231</v>
      </c>
      <c r="L16" s="20"/>
      <c r="M16" s="16" t="s">
        <v>232</v>
      </c>
      <c r="N16" s="20"/>
      <c r="O16" s="16" t="s">
        <v>233</v>
      </c>
      <c r="P16" s="20"/>
      <c r="Q16" s="20" t="s">
        <v>234</v>
      </c>
      <c r="R16" s="20" t="s">
        <v>235</v>
      </c>
      <c r="S16" s="19">
        <v>50.001502000000002</v>
      </c>
      <c r="T16" s="19">
        <v>14.560808</v>
      </c>
      <c r="U16" s="20"/>
      <c r="V16" s="20"/>
      <c r="W16" s="20"/>
      <c r="X16" s="20"/>
      <c r="Y16" s="20" t="s">
        <v>47</v>
      </c>
      <c r="Z16" s="20"/>
      <c r="AA16" s="20"/>
      <c r="AB16" s="20"/>
      <c r="AC16" s="20"/>
      <c r="AD16" s="20"/>
      <c r="AE16" s="20"/>
      <c r="AF16" t="str">
        <f t="shared" si="0"/>
        <v>ANO</v>
      </c>
      <c r="AG16" s="20"/>
      <c r="AH16" s="20"/>
      <c r="AI16" s="20"/>
      <c r="AJ16" s="20"/>
      <c r="AK16" s="20"/>
    </row>
    <row r="17" spans="1:37">
      <c r="A17" s="6">
        <v>13</v>
      </c>
      <c r="B17" s="6" t="s">
        <v>237</v>
      </c>
      <c r="C17" s="6" t="s">
        <v>238</v>
      </c>
      <c r="D17" s="6" t="s">
        <v>239</v>
      </c>
      <c r="E17" s="12" t="s">
        <v>240</v>
      </c>
      <c r="F17" s="6" t="s">
        <v>73</v>
      </c>
      <c r="G17" s="11">
        <v>2012</v>
      </c>
      <c r="H17" s="6">
        <v>120</v>
      </c>
      <c r="I17" s="13" t="str">
        <f>HYPERLINK("http://www.hostinecvedvore.cz","http://www.hostinecvedvore.cz")</f>
        <v>http://www.hostinecvedvore.cz</v>
      </c>
      <c r="J17" s="15" t="s">
        <v>241</v>
      </c>
      <c r="K17" s="6" t="s">
        <v>242</v>
      </c>
      <c r="L17" s="6"/>
      <c r="M17" s="6" t="s">
        <v>243</v>
      </c>
      <c r="N17" s="6"/>
      <c r="O17" s="6" t="s">
        <v>237</v>
      </c>
      <c r="P17" s="6" t="s">
        <v>244</v>
      </c>
      <c r="Q17" s="15" t="s">
        <v>245</v>
      </c>
      <c r="R17" s="6" t="s">
        <v>246</v>
      </c>
      <c r="S17" s="6">
        <v>49.772792000000003</v>
      </c>
      <c r="T17" s="6">
        <v>18.306511</v>
      </c>
      <c r="U17" s="6"/>
      <c r="V17" s="6"/>
      <c r="W17" s="6"/>
      <c r="X17" s="6" t="s">
        <v>47</v>
      </c>
      <c r="Y17" s="6"/>
      <c r="Z17" s="6"/>
      <c r="AA17" s="6"/>
      <c r="AB17" s="6" t="s">
        <v>47</v>
      </c>
      <c r="AD17" s="6" t="s">
        <v>47</v>
      </c>
      <c r="AE17" s="17" t="s">
        <v>47</v>
      </c>
      <c r="AF17" t="str">
        <f t="shared" si="0"/>
        <v>ANO</v>
      </c>
    </row>
    <row r="18" spans="1:37">
      <c r="A18" s="6">
        <v>14</v>
      </c>
      <c r="B18" s="6" t="s">
        <v>247</v>
      </c>
      <c r="C18" s="6" t="s">
        <v>248</v>
      </c>
      <c r="D18" s="6" t="s">
        <v>249</v>
      </c>
      <c r="E18" s="12" t="s">
        <v>250</v>
      </c>
      <c r="F18" s="6" t="s">
        <v>73</v>
      </c>
      <c r="G18" s="11">
        <v>2013</v>
      </c>
      <c r="H18" s="6"/>
      <c r="I18" s="13" t="str">
        <f>HYPERLINK("http://www.pivovarkolstejn.cz","http://www.pivovarkolstejn.cz")</f>
        <v>http://www.pivovarkolstejn.cz</v>
      </c>
      <c r="J18" s="13" t="str">
        <f>HYPERLINK("https://www.facebook.com/minipivovarkolstejn","https://www.facebook.com/minipivovarkolstejn")</f>
        <v>https://www.facebook.com/minipivovarkolstejn</v>
      </c>
      <c r="K18" s="6" t="s">
        <v>251</v>
      </c>
      <c r="L18" s="6"/>
      <c r="M18" s="6" t="s">
        <v>252</v>
      </c>
      <c r="N18" s="6"/>
      <c r="O18" s="6" t="s">
        <v>253</v>
      </c>
      <c r="P18" s="6"/>
      <c r="Q18" s="15" t="s">
        <v>254</v>
      </c>
      <c r="R18" s="6" t="s">
        <v>255</v>
      </c>
      <c r="S18" s="6">
        <v>50.152572200000002</v>
      </c>
      <c r="T18" s="6">
        <v>17.010988099999999</v>
      </c>
      <c r="U18" s="6"/>
      <c r="V18" s="6"/>
      <c r="W18" s="6"/>
      <c r="X18" s="6"/>
      <c r="Y18" s="6"/>
      <c r="Z18" s="6"/>
      <c r="AA18" s="6"/>
      <c r="AB18" s="6"/>
      <c r="AD18" s="6" t="s">
        <v>47</v>
      </c>
      <c r="AE18" s="17" t="s">
        <v>47</v>
      </c>
      <c r="AF18" t="str">
        <f t="shared" si="0"/>
        <v>ANO</v>
      </c>
    </row>
    <row r="19" spans="1:37">
      <c r="A19" s="6">
        <v>15</v>
      </c>
      <c r="B19" s="6" t="s">
        <v>256</v>
      </c>
      <c r="C19" s="6" t="s">
        <v>257</v>
      </c>
      <c r="D19" s="6" t="s">
        <v>256</v>
      </c>
      <c r="E19" s="12" t="s">
        <v>258</v>
      </c>
      <c r="F19" s="6" t="s">
        <v>91</v>
      </c>
      <c r="G19" s="11">
        <v>2013</v>
      </c>
      <c r="H19" s="6"/>
      <c r="I19" s="13" t="str">
        <f>HYPERLINK("http://www.pivovarbreclav.cz","http://www.pivovarbreclav.cz")</f>
        <v>http://www.pivovarbreclav.cz</v>
      </c>
      <c r="J19" s="13" t="str">
        <f>HYPERLINK("https://www.facebook.com/pivovarbreclav","https://www.facebook.com/pivovarbreclav")</f>
        <v>https://www.facebook.com/pivovarbreclav</v>
      </c>
      <c r="K19" s="6" t="s">
        <v>261</v>
      </c>
      <c r="L19" s="6"/>
      <c r="M19" s="6" t="s">
        <v>262</v>
      </c>
      <c r="N19" s="6" t="s">
        <v>263</v>
      </c>
      <c r="O19" s="6" t="s">
        <v>264</v>
      </c>
      <c r="P19" s="6"/>
      <c r="Q19" s="6"/>
      <c r="R19" s="6" t="s">
        <v>265</v>
      </c>
      <c r="S19" s="6">
        <v>48.760953100000002</v>
      </c>
      <c r="T19" s="6">
        <v>16.8751</v>
      </c>
      <c r="U19" s="6"/>
      <c r="V19" s="6"/>
      <c r="W19" s="6"/>
      <c r="X19" s="6"/>
      <c r="Y19" s="6"/>
      <c r="Z19" s="6"/>
      <c r="AA19" s="6"/>
      <c r="AB19" s="6"/>
      <c r="AD19" s="6"/>
      <c r="AE19" s="16"/>
      <c r="AF19" t="str">
        <f t="shared" si="0"/>
        <v/>
      </c>
    </row>
    <row r="20" spans="1:37">
      <c r="A20" s="6">
        <v>16</v>
      </c>
      <c r="B20" s="6" t="s">
        <v>266</v>
      </c>
      <c r="C20" s="6" t="s">
        <v>267</v>
      </c>
      <c r="D20" s="6" t="s">
        <v>268</v>
      </c>
      <c r="E20" s="12" t="s">
        <v>269</v>
      </c>
      <c r="F20" s="6" t="s">
        <v>57</v>
      </c>
      <c r="G20" s="11">
        <v>2012</v>
      </c>
      <c r="H20" s="6"/>
      <c r="I20" s="13" t="str">
        <f>HYPERLINK("http://brevnovskypivovar.cz","http://brevnovskypivovar.cz")</f>
        <v>http://brevnovskypivovar.cz</v>
      </c>
      <c r="J20" s="13" t="str">
        <f>HYPERLINK("https://www.facebook.com/Brevnovskypivovar","https://www.facebook.com/Brevnovskypivovar")</f>
        <v>https://www.facebook.com/Brevnovskypivovar</v>
      </c>
      <c r="K20" s="6" t="s">
        <v>270</v>
      </c>
      <c r="L20" s="6"/>
      <c r="M20" s="6" t="s">
        <v>271</v>
      </c>
      <c r="N20" s="6"/>
      <c r="O20" s="6" t="s">
        <v>272</v>
      </c>
      <c r="P20" s="6"/>
      <c r="Q20" s="6"/>
      <c r="R20" s="6" t="s">
        <v>273</v>
      </c>
      <c r="S20" s="6">
        <v>50.0841931</v>
      </c>
      <c r="T20" s="6">
        <v>14.3576164</v>
      </c>
      <c r="U20" s="6"/>
      <c r="V20" s="6"/>
      <c r="W20" s="6"/>
      <c r="X20" s="6"/>
      <c r="Y20" s="6"/>
      <c r="Z20" s="6"/>
      <c r="AA20" s="6"/>
      <c r="AB20" s="6"/>
      <c r="AD20" s="6"/>
      <c r="AE20" s="17" t="s">
        <v>47</v>
      </c>
      <c r="AF20" t="str">
        <f t="shared" si="0"/>
        <v>ANO</v>
      </c>
    </row>
    <row r="21" spans="1:37">
      <c r="A21" s="19">
        <v>17</v>
      </c>
      <c r="B21" s="20" t="s">
        <v>274</v>
      </c>
      <c r="C21" s="20" t="s">
        <v>275</v>
      </c>
      <c r="D21" s="16" t="s">
        <v>276</v>
      </c>
      <c r="E21" s="23" t="s">
        <v>277</v>
      </c>
      <c r="F21" s="20" t="s">
        <v>113</v>
      </c>
      <c r="G21" s="24">
        <v>1899.2007000000001</v>
      </c>
      <c r="H21" s="20"/>
      <c r="I21" s="16" t="s">
        <v>278</v>
      </c>
      <c r="J21" s="20"/>
      <c r="K21" s="26" t="s">
        <v>279</v>
      </c>
      <c r="L21" s="20" t="s">
        <v>280</v>
      </c>
      <c r="M21" s="20" t="s">
        <v>281</v>
      </c>
      <c r="N21" s="20" t="s">
        <v>282</v>
      </c>
      <c r="O21" s="20" t="s">
        <v>274</v>
      </c>
      <c r="P21" s="20"/>
      <c r="Q21" s="20"/>
      <c r="R21" s="20" t="s">
        <v>283</v>
      </c>
      <c r="S21" s="19">
        <v>50.029457000000001</v>
      </c>
      <c r="T21" s="19">
        <v>14.4102669999999</v>
      </c>
      <c r="U21" s="20"/>
      <c r="V21" s="20"/>
      <c r="W21" s="20"/>
      <c r="X21" s="20"/>
      <c r="Y21" s="20"/>
      <c r="Z21" s="20"/>
      <c r="AA21" s="20"/>
      <c r="AB21" s="20"/>
      <c r="AC21" s="20"/>
      <c r="AD21" s="20"/>
      <c r="AE21" s="20"/>
      <c r="AF21" t="str">
        <f t="shared" si="0"/>
        <v/>
      </c>
      <c r="AG21" s="20"/>
      <c r="AH21" s="20"/>
      <c r="AI21" s="20"/>
      <c r="AJ21" s="20"/>
      <c r="AK21" s="20"/>
    </row>
    <row r="22" spans="1:37">
      <c r="A22" s="6">
        <v>17</v>
      </c>
      <c r="B22" s="6" t="s">
        <v>284</v>
      </c>
      <c r="C22" s="6" t="s">
        <v>285</v>
      </c>
      <c r="D22" s="6" t="s">
        <v>284</v>
      </c>
      <c r="E22" s="12" t="s">
        <v>286</v>
      </c>
      <c r="F22" s="6" t="s">
        <v>91</v>
      </c>
      <c r="G22" s="11">
        <v>1753</v>
      </c>
      <c r="H22" s="6">
        <v>245000</v>
      </c>
      <c r="I22" s="13" t="str">
        <f>HYPERLINK("http://www.breznak.cz","http://www.breznak.cz")</f>
        <v>http://www.breznak.cz</v>
      </c>
      <c r="J22" s="13" t="str">
        <f>HYPERLINK("https://www.facebook.com/pivobreznak","https://www.facebook.com/pivobreznak")</f>
        <v>https://www.facebook.com/pivobreznak</v>
      </c>
      <c r="K22" s="6" t="s">
        <v>290</v>
      </c>
      <c r="L22" s="6" t="s">
        <v>291</v>
      </c>
      <c r="M22" s="6" t="s">
        <v>292</v>
      </c>
      <c r="N22" s="6"/>
      <c r="O22" s="6" t="s">
        <v>293</v>
      </c>
      <c r="P22" s="6"/>
      <c r="Q22" s="6"/>
      <c r="R22" s="6" t="s">
        <v>294</v>
      </c>
      <c r="S22" s="6">
        <v>50.664648</v>
      </c>
      <c r="T22" s="6">
        <v>14.138935</v>
      </c>
      <c r="U22" s="6"/>
      <c r="V22" s="6"/>
      <c r="W22" s="6"/>
      <c r="X22" s="6"/>
      <c r="Y22" s="6"/>
      <c r="Z22" s="6"/>
      <c r="AA22" s="6"/>
      <c r="AB22" s="6"/>
      <c r="AD22" s="6"/>
      <c r="AE22" s="16"/>
      <c r="AF22" t="str">
        <f t="shared" si="0"/>
        <v/>
      </c>
    </row>
    <row r="23" spans="1:37">
      <c r="A23" s="6">
        <v>18</v>
      </c>
      <c r="B23" s="6" t="s">
        <v>297</v>
      </c>
      <c r="C23" s="6" t="s">
        <v>297</v>
      </c>
      <c r="D23" s="6" t="s">
        <v>298</v>
      </c>
      <c r="E23" s="12" t="s">
        <v>299</v>
      </c>
      <c r="F23" s="6" t="s">
        <v>91</v>
      </c>
      <c r="G23" s="11">
        <v>1895</v>
      </c>
      <c r="H23" s="6">
        <v>1600000</v>
      </c>
      <c r="I23" s="13" t="str">
        <f>HYPERLINK("http://www.budejovickybudvar.cz","http://www.budejovickybudvar.cz")</f>
        <v>http://www.budejovickybudvar.cz</v>
      </c>
      <c r="J23" s="13" t="str">
        <f>HYPERLINK("https://www.facebook.com/BudweiserBudvar","https://www.facebook.com/BudweiserBudvar")</f>
        <v>https://www.facebook.com/BudweiserBudvar</v>
      </c>
      <c r="K23" s="6" t="s">
        <v>300</v>
      </c>
      <c r="L23" s="6"/>
      <c r="M23" s="6" t="s">
        <v>301</v>
      </c>
      <c r="N23" s="6"/>
      <c r="O23" s="6" t="s">
        <v>302</v>
      </c>
      <c r="P23" s="6"/>
      <c r="Q23" s="6"/>
      <c r="R23" s="6" t="s">
        <v>303</v>
      </c>
      <c r="S23" s="6">
        <v>48.9935683</v>
      </c>
      <c r="T23" s="6">
        <v>14.4761714</v>
      </c>
      <c r="U23" s="6"/>
      <c r="V23" s="6"/>
      <c r="W23" s="6"/>
      <c r="X23" s="6"/>
      <c r="Y23" s="6"/>
      <c r="Z23" s="6" t="s">
        <v>47</v>
      </c>
      <c r="AA23" s="6"/>
      <c r="AB23" s="6"/>
      <c r="AD23" s="6"/>
      <c r="AE23" s="16"/>
      <c r="AF23" t="str">
        <f t="shared" si="0"/>
        <v>ANO</v>
      </c>
    </row>
    <row r="24" spans="1:37">
      <c r="A24" s="6">
        <v>19</v>
      </c>
      <c r="B24" s="6" t="s">
        <v>304</v>
      </c>
      <c r="C24" s="6" t="s">
        <v>305</v>
      </c>
      <c r="D24" s="6" t="s">
        <v>304</v>
      </c>
      <c r="E24" s="12" t="s">
        <v>306</v>
      </c>
      <c r="F24" s="6" t="s">
        <v>91</v>
      </c>
      <c r="G24" s="11">
        <v>1530</v>
      </c>
      <c r="H24" s="6">
        <v>162000</v>
      </c>
      <c r="I24" s="13" t="str">
        <f>HYPERLINK("http://www.pivovarcernahora.cz","http://www.pivovarcernahora.cz")</f>
        <v>http://www.pivovarcernahora.cz</v>
      </c>
      <c r="J24" s="13" t="str">
        <f>HYPERLINK("https://www.facebook.com/cernahorapivovar","https://www.facebook.com/cernahorapivovar")</f>
        <v>https://www.facebook.com/cernahorapivovar</v>
      </c>
      <c r="K24" s="6" t="s">
        <v>307</v>
      </c>
      <c r="L24" s="6" t="s">
        <v>308</v>
      </c>
      <c r="M24" s="6" t="s">
        <v>309</v>
      </c>
      <c r="N24" s="6"/>
      <c r="O24" s="6" t="s">
        <v>310</v>
      </c>
      <c r="P24" s="6"/>
      <c r="Q24" s="6"/>
      <c r="R24" s="6" t="s">
        <v>311</v>
      </c>
      <c r="S24" s="6">
        <v>49.4147672</v>
      </c>
      <c r="T24" s="6">
        <v>16.581654400000001</v>
      </c>
      <c r="U24" s="6"/>
      <c r="V24" s="6"/>
      <c r="W24" s="6"/>
      <c r="X24" s="6"/>
      <c r="Y24" s="6"/>
      <c r="Z24" s="6"/>
      <c r="AA24" s="6"/>
      <c r="AB24" s="6"/>
      <c r="AD24" s="6"/>
      <c r="AE24" s="16"/>
      <c r="AF24" t="str">
        <f t="shared" si="0"/>
        <v/>
      </c>
    </row>
    <row r="25" spans="1:37">
      <c r="A25" s="6">
        <v>20</v>
      </c>
      <c r="B25" s="6" t="s">
        <v>314</v>
      </c>
      <c r="C25" s="6" t="s">
        <v>315</v>
      </c>
      <c r="D25" s="6" t="s">
        <v>316</v>
      </c>
      <c r="E25" s="12" t="s">
        <v>317</v>
      </c>
      <c r="F25" s="6" t="s">
        <v>73</v>
      </c>
      <c r="G25" s="11">
        <v>2009</v>
      </c>
      <c r="H25" s="6">
        <v>910</v>
      </c>
      <c r="I25" s="13" t="str">
        <f>HYPERLINK("http://www.pivovar-kromeriz.cz","http://www.pivovar-kromeriz.cz")</f>
        <v>http://www.pivovar-kromeriz.cz</v>
      </c>
      <c r="J25" s="13" t="str">
        <f>HYPERLINK("https://www.facebook.com/cerny.orel","https://www.facebook.com/cerny.orel")</f>
        <v>https://www.facebook.com/cerny.orel</v>
      </c>
      <c r="K25" s="6" t="s">
        <v>318</v>
      </c>
      <c r="L25" s="6"/>
      <c r="M25" s="6" t="s">
        <v>319</v>
      </c>
      <c r="N25" s="6"/>
      <c r="O25" s="6" t="s">
        <v>314</v>
      </c>
      <c r="P25" s="6"/>
      <c r="Q25" s="6"/>
      <c r="R25" s="6" t="s">
        <v>320</v>
      </c>
      <c r="S25" s="6">
        <v>49.298402199999998</v>
      </c>
      <c r="T25" s="6">
        <v>17.392333099999998</v>
      </c>
      <c r="U25" s="6"/>
      <c r="V25" s="6"/>
      <c r="W25" s="6"/>
      <c r="X25" s="6" t="s">
        <v>47</v>
      </c>
      <c r="Y25" s="6"/>
      <c r="Z25" s="6"/>
      <c r="AA25" s="6"/>
      <c r="AB25" s="6"/>
      <c r="AD25" s="6"/>
      <c r="AE25" s="17" t="s">
        <v>47</v>
      </c>
      <c r="AF25" t="str">
        <f t="shared" si="0"/>
        <v>ANO</v>
      </c>
    </row>
    <row r="26" spans="1:37">
      <c r="A26" s="6">
        <v>21</v>
      </c>
      <c r="B26" s="6" t="s">
        <v>321</v>
      </c>
      <c r="C26" s="6" t="s">
        <v>322</v>
      </c>
      <c r="D26" s="6" t="s">
        <v>323</v>
      </c>
      <c r="E26" s="12" t="s">
        <v>324</v>
      </c>
      <c r="F26" s="6" t="s">
        <v>73</v>
      </c>
      <c r="G26" s="11">
        <v>2011</v>
      </c>
      <c r="H26" s="6"/>
      <c r="I26" s="13" t="str">
        <f>HYPERLINK("http://www.ubizona.eu","http://www.ubizona.eu")</f>
        <v>http://www.ubizona.eu</v>
      </c>
      <c r="J26" s="13" t="str">
        <f>HYPERLINK("https://www.facebook.com/HostinskyPivovarUBizonaCizice","https://www.facebook.com/HostinskyPivovarUBizonaCizice")</f>
        <v>https://www.facebook.com/HostinskyPivovarUBizonaCizice</v>
      </c>
      <c r="K26" s="6" t="s">
        <v>326</v>
      </c>
      <c r="L26" s="6"/>
      <c r="M26" s="6" t="s">
        <v>327</v>
      </c>
      <c r="N26" s="6"/>
      <c r="O26" s="6" t="s">
        <v>328</v>
      </c>
      <c r="P26" s="6" t="s">
        <v>329</v>
      </c>
      <c r="Q26" s="6"/>
      <c r="R26" s="6" t="s">
        <v>330</v>
      </c>
      <c r="S26" s="6">
        <v>49.649724399999997</v>
      </c>
      <c r="T26" s="6">
        <v>13.3992153</v>
      </c>
      <c r="U26" s="6"/>
      <c r="V26" s="6"/>
      <c r="W26" s="6"/>
      <c r="X26" s="6"/>
      <c r="Y26" s="6"/>
      <c r="Z26" s="6"/>
      <c r="AA26" s="6"/>
      <c r="AB26" s="6"/>
      <c r="AD26" s="6"/>
      <c r="AE26" s="16"/>
      <c r="AF26" t="str">
        <f t="shared" si="0"/>
        <v/>
      </c>
    </row>
    <row r="27" spans="1:37">
      <c r="A27" s="6">
        <v>22</v>
      </c>
      <c r="B27" s="6" t="s">
        <v>331</v>
      </c>
      <c r="C27" s="6" t="s">
        <v>332</v>
      </c>
      <c r="D27" s="6" t="s">
        <v>331</v>
      </c>
      <c r="E27" s="12" t="s">
        <v>333</v>
      </c>
      <c r="F27" s="6" t="s">
        <v>91</v>
      </c>
      <c r="G27" s="11">
        <v>2017</v>
      </c>
      <c r="H27" s="6"/>
      <c r="I27" s="13" t="str">
        <f>HYPERLINK("http://pivokutnahora.cz","http://pivokutnahora.cz")</f>
        <v>http://pivokutnahora.cz</v>
      </c>
      <c r="J27" s="13" t="str">
        <f>HYPERLINK("https://www.facebook.com/pivovarkutnahora","https://www.facebook.com/pivovarkutnahora")</f>
        <v>https://www.facebook.com/pivovarkutnahora</v>
      </c>
      <c r="K27" s="6" t="s">
        <v>334</v>
      </c>
      <c r="L27" s="6"/>
      <c r="M27" s="6" t="s">
        <v>335</v>
      </c>
      <c r="N27" s="6"/>
      <c r="O27" s="6" t="s">
        <v>337</v>
      </c>
      <c r="P27" s="6"/>
      <c r="Q27" s="6"/>
      <c r="R27" s="6" t="s">
        <v>338</v>
      </c>
      <c r="S27" s="6">
        <v>49.956696000000001</v>
      </c>
      <c r="T27" s="6">
        <v>15.270909</v>
      </c>
      <c r="U27" s="6"/>
      <c r="V27" s="6"/>
      <c r="W27" s="6"/>
      <c r="X27" s="6"/>
      <c r="Y27" s="6"/>
      <c r="Z27" s="6"/>
      <c r="AA27" s="6"/>
      <c r="AB27" s="6"/>
      <c r="AD27" s="6"/>
      <c r="AE27" s="16"/>
      <c r="AF27" t="str">
        <f t="shared" si="0"/>
        <v/>
      </c>
    </row>
    <row r="28" spans="1:37">
      <c r="A28" s="6">
        <v>23</v>
      </c>
      <c r="B28" s="6" t="s">
        <v>339</v>
      </c>
      <c r="C28" s="6" t="s">
        <v>340</v>
      </c>
      <c r="D28" s="6" t="s">
        <v>339</v>
      </c>
      <c r="E28" s="12" t="s">
        <v>341</v>
      </c>
      <c r="F28" s="6" t="s">
        <v>73</v>
      </c>
      <c r="G28" s="11">
        <v>2002</v>
      </c>
      <c r="H28" s="6">
        <v>7500</v>
      </c>
      <c r="I28" s="13" t="str">
        <f>HYPERLINK("http://www.pivovar-dalesice.cz","http://www.pivovar-dalesice.cz")</f>
        <v>http://www.pivovar-dalesice.cz</v>
      </c>
      <c r="J28" s="13" t="str">
        <f>HYPERLINK("https://www.facebook.com/pivovardalesice","https://www.facebook.com/pivovardalesice")</f>
        <v>https://www.facebook.com/pivovardalesice</v>
      </c>
      <c r="K28" s="6" t="s">
        <v>342</v>
      </c>
      <c r="L28" s="6"/>
      <c r="M28" s="6" t="s">
        <v>343</v>
      </c>
      <c r="N28" s="6"/>
      <c r="O28" s="6" t="s">
        <v>344</v>
      </c>
      <c r="P28" s="6"/>
      <c r="Q28" s="6"/>
      <c r="R28" s="6" t="s">
        <v>345</v>
      </c>
      <c r="S28" s="6">
        <v>49.130879999999898</v>
      </c>
      <c r="T28" s="6">
        <v>16.0798939999999</v>
      </c>
      <c r="U28" s="6"/>
      <c r="V28" s="6"/>
      <c r="W28" s="6"/>
      <c r="X28" s="6"/>
      <c r="Y28" s="6"/>
      <c r="Z28" s="6"/>
      <c r="AA28" s="6"/>
      <c r="AB28" s="6"/>
      <c r="AC28" s="9" t="s">
        <v>47</v>
      </c>
      <c r="AD28" s="6"/>
      <c r="AE28" s="16"/>
      <c r="AF28" t="str">
        <f t="shared" si="0"/>
        <v>ANO</v>
      </c>
    </row>
    <row r="29" spans="1:37">
      <c r="A29" s="6">
        <v>24</v>
      </c>
      <c r="B29" s="6" t="s">
        <v>346</v>
      </c>
      <c r="C29" s="6" t="s">
        <v>347</v>
      </c>
      <c r="D29" s="6" t="s">
        <v>346</v>
      </c>
      <c r="E29" s="12" t="s">
        <v>348</v>
      </c>
      <c r="F29" s="6" t="s">
        <v>73</v>
      </c>
      <c r="G29" s="11">
        <v>2003</v>
      </c>
      <c r="H29" s="6">
        <v>1575</v>
      </c>
      <c r="I29" s="13" t="str">
        <f>HYPERLINK("http://www.detenice.cz","http://www.detenice.cz")</f>
        <v>http://www.detenice.cz</v>
      </c>
      <c r="J29" s="13" t="str">
        <f>HYPERLINK("https://www.facebook.com/zamek.detenice","https://www.facebook.com/zamek.detenice")</f>
        <v>https://www.facebook.com/zamek.detenice</v>
      </c>
      <c r="K29" s="6" t="s">
        <v>349</v>
      </c>
      <c r="L29" s="6"/>
      <c r="M29" s="6" t="s">
        <v>350</v>
      </c>
      <c r="N29" s="6"/>
      <c r="O29" s="6" t="s">
        <v>351</v>
      </c>
      <c r="P29" s="6"/>
      <c r="Q29" s="6"/>
      <c r="R29" s="6" t="s">
        <v>352</v>
      </c>
      <c r="S29" s="6">
        <v>50.368966899999997</v>
      </c>
      <c r="T29" s="6">
        <v>15.1714989</v>
      </c>
      <c r="U29" s="6"/>
      <c r="V29" s="6"/>
      <c r="W29" s="6"/>
      <c r="X29" s="6"/>
      <c r="Y29" s="6"/>
      <c r="Z29" s="6"/>
      <c r="AA29" s="6"/>
      <c r="AB29" s="6"/>
      <c r="AC29" s="9" t="s">
        <v>47</v>
      </c>
      <c r="AD29" s="6"/>
      <c r="AE29" s="17" t="s">
        <v>47</v>
      </c>
      <c r="AF29" t="str">
        <f t="shared" si="0"/>
        <v>ANO</v>
      </c>
    </row>
    <row r="30" spans="1:37">
      <c r="A30" s="6">
        <v>25</v>
      </c>
      <c r="B30" s="6" t="s">
        <v>355</v>
      </c>
      <c r="C30" s="6" t="s">
        <v>356</v>
      </c>
      <c r="D30" s="6" t="s">
        <v>357</v>
      </c>
      <c r="E30" s="12" t="s">
        <v>358</v>
      </c>
      <c r="F30" s="6" t="s">
        <v>73</v>
      </c>
      <c r="G30" s="11">
        <v>1998</v>
      </c>
      <c r="H30" s="6">
        <v>1500</v>
      </c>
      <c r="I30" s="15" t="s">
        <v>359</v>
      </c>
      <c r="J30" s="13" t="str">
        <f>HYPERLINK("https://www.facebook.com/pivovarmodrahvezda","https://www.facebook.com/pivovarmodrahvezda")</f>
        <v>https://www.facebook.com/pivovarmodrahvezda</v>
      </c>
      <c r="K30" s="6" t="s">
        <v>360</v>
      </c>
      <c r="L30" s="6"/>
      <c r="M30" s="6" t="s">
        <v>361</v>
      </c>
      <c r="N30" s="6"/>
      <c r="O30" s="6" t="s">
        <v>362</v>
      </c>
      <c r="P30" s="6"/>
      <c r="Q30" s="6"/>
      <c r="R30" s="6" t="s">
        <v>363</v>
      </c>
      <c r="S30" s="6">
        <v>49.655427500000002</v>
      </c>
      <c r="T30" s="6">
        <v>13.290081900000001</v>
      </c>
      <c r="U30" s="6"/>
      <c r="V30" s="6"/>
      <c r="W30" s="6"/>
      <c r="X30" s="6"/>
      <c r="Y30" s="6"/>
      <c r="Z30" s="6" t="s">
        <v>47</v>
      </c>
      <c r="AA30" s="6"/>
      <c r="AB30" s="6"/>
      <c r="AD30" s="6"/>
      <c r="AE30" s="17" t="s">
        <v>47</v>
      </c>
      <c r="AF30" t="str">
        <f t="shared" si="0"/>
        <v>ANO</v>
      </c>
    </row>
    <row r="31" spans="1:37">
      <c r="A31" s="19">
        <v>25</v>
      </c>
      <c r="B31" s="20" t="s">
        <v>331</v>
      </c>
      <c r="C31" s="20" t="s">
        <v>365</v>
      </c>
      <c r="D31" s="16" t="s">
        <v>331</v>
      </c>
      <c r="E31" s="23" t="s">
        <v>333</v>
      </c>
      <c r="F31" s="20" t="s">
        <v>113</v>
      </c>
      <c r="G31" s="24">
        <v>1573.2009</v>
      </c>
      <c r="H31" s="20"/>
      <c r="I31" s="20"/>
      <c r="J31" s="20"/>
      <c r="K31" s="26" t="s">
        <v>366</v>
      </c>
      <c r="L31" s="16" t="s">
        <v>291</v>
      </c>
      <c r="M31" s="20"/>
      <c r="N31" s="20"/>
      <c r="O31" s="16" t="s">
        <v>367</v>
      </c>
      <c r="P31" s="20"/>
      <c r="Q31" s="20"/>
      <c r="R31" s="20" t="s">
        <v>368</v>
      </c>
      <c r="S31" s="19">
        <v>49.956748099999999</v>
      </c>
      <c r="T31" s="19">
        <v>15.270965</v>
      </c>
      <c r="U31" s="20"/>
      <c r="V31" s="20"/>
      <c r="W31" s="20"/>
      <c r="X31" s="20"/>
      <c r="Y31" s="20"/>
      <c r="Z31" s="20"/>
      <c r="AA31" s="20"/>
      <c r="AB31" s="20"/>
      <c r="AC31" s="20"/>
      <c r="AD31" s="20"/>
      <c r="AE31" s="20"/>
      <c r="AF31" t="str">
        <f t="shared" si="0"/>
        <v/>
      </c>
      <c r="AG31" s="20"/>
      <c r="AH31" s="20"/>
      <c r="AI31" s="20"/>
      <c r="AJ31" s="20"/>
      <c r="AK31" s="20"/>
    </row>
    <row r="32" spans="1:37">
      <c r="A32" s="6">
        <v>26</v>
      </c>
      <c r="B32" s="6" t="s">
        <v>370</v>
      </c>
      <c r="C32" s="6" t="s">
        <v>371</v>
      </c>
      <c r="D32" s="6" t="s">
        <v>372</v>
      </c>
      <c r="E32" s="12" t="s">
        <v>373</v>
      </c>
      <c r="F32" s="6" t="s">
        <v>91</v>
      </c>
      <c r="G32" s="11">
        <v>1649</v>
      </c>
      <c r="H32" s="6">
        <v>67000</v>
      </c>
      <c r="I32" s="13" t="str">
        <f>HYPERLINK("http://www.pivovar-strakonice.cz","http://www.pivovar-strakonice.cz")</f>
        <v>http://www.pivovar-strakonice.cz</v>
      </c>
      <c r="J32" s="31" t="s">
        <v>374</v>
      </c>
      <c r="K32" s="6" t="s">
        <v>375</v>
      </c>
      <c r="L32" s="6"/>
      <c r="M32" s="6" t="s">
        <v>376</v>
      </c>
      <c r="N32" s="6"/>
      <c r="O32" s="6" t="s">
        <v>377</v>
      </c>
      <c r="P32" s="6"/>
      <c r="Q32" s="6"/>
      <c r="R32" s="6" t="s">
        <v>378</v>
      </c>
      <c r="S32" s="6">
        <v>49.259583900000003</v>
      </c>
      <c r="T32" s="6">
        <v>13.897513099999999</v>
      </c>
      <c r="U32" s="6"/>
      <c r="V32" s="6"/>
      <c r="W32" s="6"/>
      <c r="X32" s="6"/>
      <c r="Y32" s="6"/>
      <c r="Z32" s="6"/>
      <c r="AA32" s="6"/>
      <c r="AB32" s="6"/>
      <c r="AD32" s="6"/>
      <c r="AE32" s="16"/>
      <c r="AF32" t="str">
        <f t="shared" si="0"/>
        <v/>
      </c>
    </row>
    <row r="33" spans="1:37">
      <c r="A33" s="6">
        <v>27</v>
      </c>
      <c r="B33" s="6" t="s">
        <v>380</v>
      </c>
      <c r="C33" s="6" t="s">
        <v>381</v>
      </c>
      <c r="D33" s="6" t="s">
        <v>382</v>
      </c>
      <c r="E33" s="12" t="s">
        <v>383</v>
      </c>
      <c r="F33" s="6" t="s">
        <v>73</v>
      </c>
      <c r="G33" s="18" t="s">
        <v>384</v>
      </c>
      <c r="H33" s="6">
        <v>500</v>
      </c>
      <c r="I33" s="13" t="str">
        <f>HYPERLINK("http://www.hotelexcelent.cz","http://www.hotelexcelent.cz")</f>
        <v>http://www.hotelexcelent.cz</v>
      </c>
      <c r="J33" s="13" t="str">
        <f>HYPERLINK("https://www.facebook.com/hotelexcelent","https://www.facebook.com/hotelexcelent")</f>
        <v>https://www.facebook.com/hotelexcelent</v>
      </c>
      <c r="K33" s="6" t="s">
        <v>385</v>
      </c>
      <c r="L33" s="6"/>
      <c r="M33" s="6"/>
      <c r="N33" s="6"/>
      <c r="O33" s="6" t="s">
        <v>386</v>
      </c>
      <c r="P33" s="6"/>
      <c r="Q33" s="6"/>
      <c r="R33" s="6" t="s">
        <v>387</v>
      </c>
      <c r="S33" s="6">
        <v>49.930871400000001</v>
      </c>
      <c r="T33" s="6">
        <v>17.269795800000001</v>
      </c>
      <c r="U33" s="6" t="s">
        <v>47</v>
      </c>
      <c r="V33" s="6"/>
      <c r="W33" s="6"/>
      <c r="X33" s="6"/>
      <c r="Y33" s="6"/>
      <c r="Z33" s="6"/>
      <c r="AA33" s="6"/>
      <c r="AB33" s="6"/>
      <c r="AD33" s="6" t="s">
        <v>47</v>
      </c>
      <c r="AE33" s="17" t="s">
        <v>47</v>
      </c>
      <c r="AF33" t="str">
        <f t="shared" si="0"/>
        <v>ANO</v>
      </c>
    </row>
    <row r="34" spans="1:37">
      <c r="A34" s="6">
        <v>28</v>
      </c>
      <c r="B34" s="6" t="s">
        <v>388</v>
      </c>
      <c r="C34" s="6" t="s">
        <v>389</v>
      </c>
      <c r="D34" s="6" t="s">
        <v>390</v>
      </c>
      <c r="E34" s="12" t="s">
        <v>391</v>
      </c>
      <c r="F34" s="6" t="s">
        <v>73</v>
      </c>
      <c r="G34" s="11">
        <v>2012</v>
      </c>
      <c r="H34" s="6">
        <v>1000</v>
      </c>
      <c r="I34" s="13" t="str">
        <f>HYPERLINK("http://www.pivovar-faltus.cz","http://www.pivovar-faltus.cz")</f>
        <v>http://www.pivovar-faltus.cz</v>
      </c>
      <c r="J34" s="13" t="str">
        <f>HYPERLINK("https://www.facebook.com/RestauracePivovarFaltus","https://www.facebook.com/RestauracePivovarFaltus")</f>
        <v>https://www.facebook.com/RestauracePivovarFaltus</v>
      </c>
      <c r="K34" s="6" t="s">
        <v>392</v>
      </c>
      <c r="L34" s="6"/>
      <c r="M34" s="6" t="s">
        <v>393</v>
      </c>
      <c r="N34" s="6"/>
      <c r="O34" s="6" t="s">
        <v>394</v>
      </c>
      <c r="P34" s="6"/>
      <c r="Q34" s="15" t="s">
        <v>395</v>
      </c>
      <c r="R34" s="6" t="s">
        <v>396</v>
      </c>
      <c r="S34" s="6">
        <v>49.900830300000003</v>
      </c>
      <c r="T34" s="6">
        <v>16.449192499999999</v>
      </c>
      <c r="U34" s="6"/>
      <c r="V34" s="6"/>
      <c r="W34" s="6" t="s">
        <v>47</v>
      </c>
      <c r="X34" s="6" t="s">
        <v>47</v>
      </c>
      <c r="Y34" s="6" t="s">
        <v>47</v>
      </c>
      <c r="Z34" s="6" t="s">
        <v>47</v>
      </c>
      <c r="AA34" s="6" t="s">
        <v>47</v>
      </c>
      <c r="AB34" s="6"/>
      <c r="AC34" t="s">
        <v>47</v>
      </c>
      <c r="AD34" s="6"/>
      <c r="AE34" s="17" t="s">
        <v>47</v>
      </c>
      <c r="AF34" t="str">
        <f t="shared" si="0"/>
        <v>ANO</v>
      </c>
    </row>
    <row r="35" spans="1:37">
      <c r="A35" s="6">
        <v>29</v>
      </c>
      <c r="B35" s="6" t="s">
        <v>397</v>
      </c>
      <c r="C35" s="6" t="s">
        <v>398</v>
      </c>
      <c r="D35" s="6" t="s">
        <v>400</v>
      </c>
      <c r="E35" s="12" t="s">
        <v>402</v>
      </c>
      <c r="F35" s="6" t="s">
        <v>91</v>
      </c>
      <c r="G35" s="11">
        <v>1897</v>
      </c>
      <c r="H35" s="6">
        <v>27000</v>
      </c>
      <c r="I35" s="13" t="str">
        <f>HYPERLINK("http://www.pivovarferdinand.cz","http://www.pivovarferdinand.cz")</f>
        <v>http://www.pivovarferdinand.cz</v>
      </c>
      <c r="J35" s="13" t="str">
        <f>HYPERLINK("https://www.facebook.com/PivovarFerdinand","https://www.facebook.com/PivovarFerdinand")</f>
        <v>https://www.facebook.com/PivovarFerdinand</v>
      </c>
      <c r="K35" s="6" t="s">
        <v>404</v>
      </c>
      <c r="L35" s="6"/>
      <c r="M35" s="6" t="s">
        <v>405</v>
      </c>
      <c r="N35" s="6"/>
      <c r="O35" s="6" t="s">
        <v>406</v>
      </c>
      <c r="P35" s="6"/>
      <c r="Q35" s="6"/>
      <c r="R35" s="6" t="s">
        <v>407</v>
      </c>
      <c r="S35" s="6">
        <v>49.780094200000001</v>
      </c>
      <c r="T35" s="6">
        <v>14.6904717</v>
      </c>
      <c r="U35" s="6"/>
      <c r="V35" s="6"/>
      <c r="W35" s="6"/>
      <c r="X35" s="6"/>
      <c r="Y35" s="6"/>
      <c r="Z35" s="6"/>
      <c r="AA35" s="6"/>
      <c r="AB35" s="6"/>
      <c r="AD35" s="6"/>
      <c r="AE35" s="16"/>
      <c r="AF35" t="str">
        <f t="shared" si="0"/>
        <v/>
      </c>
    </row>
    <row r="36" spans="1:37">
      <c r="A36" s="19">
        <v>30</v>
      </c>
      <c r="B36" s="20" t="s">
        <v>408</v>
      </c>
      <c r="C36" s="20" t="s">
        <v>409</v>
      </c>
      <c r="D36" s="16" t="s">
        <v>410</v>
      </c>
      <c r="E36" s="12" t="s">
        <v>411</v>
      </c>
      <c r="F36" s="20" t="s">
        <v>113</v>
      </c>
      <c r="G36" s="24">
        <v>1560.2013999999999</v>
      </c>
      <c r="H36" s="20"/>
      <c r="I36" s="16" t="s">
        <v>412</v>
      </c>
      <c r="J36" s="20"/>
      <c r="K36" s="26" t="s">
        <v>413</v>
      </c>
      <c r="L36" s="20"/>
      <c r="M36" s="16" t="s">
        <v>414</v>
      </c>
      <c r="N36" s="20"/>
      <c r="O36" s="16" t="s">
        <v>415</v>
      </c>
      <c r="P36" s="20"/>
      <c r="Q36" s="20"/>
      <c r="R36" s="20" t="s">
        <v>416</v>
      </c>
      <c r="S36" s="19">
        <v>48.812323999999897</v>
      </c>
      <c r="T36" s="19">
        <v>14.319857000000001</v>
      </c>
      <c r="U36" s="20"/>
      <c r="V36" s="20"/>
      <c r="W36" s="20"/>
      <c r="X36" s="20"/>
      <c r="Y36" s="20"/>
      <c r="Z36" s="20" t="s">
        <v>47</v>
      </c>
      <c r="AA36" s="20"/>
      <c r="AB36" s="20"/>
      <c r="AC36" s="20"/>
      <c r="AD36" s="20"/>
      <c r="AE36" s="20"/>
      <c r="AF36" t="str">
        <f t="shared" si="0"/>
        <v>ANO</v>
      </c>
      <c r="AG36" s="20"/>
      <c r="AH36" s="20"/>
      <c r="AI36" s="20"/>
      <c r="AJ36" s="20"/>
      <c r="AK36" s="20"/>
    </row>
    <row r="37" spans="1:37">
      <c r="A37" s="6">
        <v>30</v>
      </c>
      <c r="B37" s="6" t="s">
        <v>417</v>
      </c>
      <c r="C37" s="6" t="s">
        <v>418</v>
      </c>
      <c r="D37" s="6" t="s">
        <v>419</v>
      </c>
      <c r="E37" s="12" t="s">
        <v>421</v>
      </c>
      <c r="F37" s="6" t="s">
        <v>73</v>
      </c>
      <c r="G37" s="11">
        <v>1499</v>
      </c>
      <c r="H37" s="6">
        <v>2100</v>
      </c>
      <c r="I37" s="13" t="str">
        <f>HYPERLINK("http://www.ufleku.cz","http://www.ufleku.cz")</f>
        <v>http://www.ufleku.cz</v>
      </c>
      <c r="J37" s="13" t="str">
        <f>HYPERLINK("https://www.facebook.com/PivovararestauraceUFlekuOFFICIAL","https://www.facebook.com/PivovararestauraceUFlekuOFFICIAL")</f>
        <v>https://www.facebook.com/PivovararestauraceUFlekuOFFICIAL</v>
      </c>
      <c r="K37" s="6" t="s">
        <v>423</v>
      </c>
      <c r="L37" s="6"/>
      <c r="M37" s="6" t="s">
        <v>424</v>
      </c>
      <c r="N37" s="6"/>
      <c r="O37" s="6" t="s">
        <v>425</v>
      </c>
      <c r="P37" s="6"/>
      <c r="Q37" s="6"/>
      <c r="R37" s="6" t="s">
        <v>426</v>
      </c>
      <c r="S37" s="6">
        <v>50.078901899999998</v>
      </c>
      <c r="T37" s="6">
        <v>14.416914200000001</v>
      </c>
      <c r="U37" s="6"/>
      <c r="V37" s="6"/>
      <c r="W37" s="6"/>
      <c r="X37" s="6"/>
      <c r="Y37" s="6"/>
      <c r="Z37" s="6"/>
      <c r="AA37" s="6"/>
      <c r="AB37" s="6"/>
      <c r="AD37" s="6"/>
      <c r="AE37" s="16"/>
      <c r="AF37" t="str">
        <f t="shared" si="0"/>
        <v/>
      </c>
    </row>
    <row r="38" spans="1:37">
      <c r="A38" s="6">
        <v>31</v>
      </c>
      <c r="B38" s="6" t="s">
        <v>427</v>
      </c>
      <c r="C38" s="6" t="s">
        <v>428</v>
      </c>
      <c r="D38" s="6" t="s">
        <v>429</v>
      </c>
      <c r="E38" s="12" t="s">
        <v>430</v>
      </c>
      <c r="F38" s="6" t="s">
        <v>73</v>
      </c>
      <c r="G38" s="18">
        <v>1993</v>
      </c>
      <c r="H38" s="12">
        <v>4000</v>
      </c>
      <c r="I38" s="13" t="str">
        <f>HYPERLINK("http://www.pivovaravar.cz","http://www.pivovaravar.cz")</f>
        <v>http://www.pivovaravar.cz</v>
      </c>
      <c r="J38" s="6"/>
      <c r="K38" s="6" t="s">
        <v>431</v>
      </c>
      <c r="L38" s="6"/>
      <c r="M38" s="6" t="s">
        <v>432</v>
      </c>
      <c r="N38" s="6" t="s">
        <v>433</v>
      </c>
      <c r="O38" s="6" t="s">
        <v>427</v>
      </c>
      <c r="P38" s="6"/>
      <c r="Q38" s="6"/>
      <c r="R38" s="6" t="s">
        <v>434</v>
      </c>
      <c r="S38" s="6">
        <v>49.897821</v>
      </c>
      <c r="T38" s="6">
        <v>18.187376</v>
      </c>
      <c r="U38" s="6"/>
      <c r="V38" s="6"/>
      <c r="W38" s="6"/>
      <c r="X38" s="6"/>
      <c r="Y38" s="6"/>
      <c r="Z38" s="6"/>
      <c r="AA38" s="6"/>
      <c r="AB38" s="6"/>
      <c r="AD38" s="6" t="s">
        <v>47</v>
      </c>
      <c r="AE38" s="17" t="s">
        <v>47</v>
      </c>
      <c r="AF38" t="str">
        <f t="shared" si="0"/>
        <v>ANO</v>
      </c>
    </row>
    <row r="39" spans="1:37">
      <c r="A39" s="6">
        <v>32</v>
      </c>
      <c r="B39" s="6" t="s">
        <v>436</v>
      </c>
      <c r="C39" s="6" t="s">
        <v>437</v>
      </c>
      <c r="D39" s="6" t="s">
        <v>438</v>
      </c>
      <c r="E39" s="12" t="s">
        <v>439</v>
      </c>
      <c r="F39" s="6" t="s">
        <v>73</v>
      </c>
      <c r="G39" s="11">
        <v>2013</v>
      </c>
      <c r="H39" s="12">
        <v>650</v>
      </c>
      <c r="I39" s="13" t="str">
        <f>HYPERLINK("https://www.garageclub.cz","https://www.garageclub.cz")</f>
        <v>https://www.garageclub.cz</v>
      </c>
      <c r="J39" s="13" t="str">
        <f>HYPERLINK("https://www.facebook.com/GarageClubMartinov","https://www.facebook.com/GarageClubMartinov")</f>
        <v>https://www.facebook.com/GarageClubMartinov</v>
      </c>
      <c r="K39" s="6" t="s">
        <v>440</v>
      </c>
      <c r="L39" s="6"/>
      <c r="M39" s="6" t="s">
        <v>441</v>
      </c>
      <c r="N39" s="6"/>
      <c r="O39" s="6" t="s">
        <v>442</v>
      </c>
      <c r="P39" s="6"/>
      <c r="Q39" s="6"/>
      <c r="R39" s="6" t="s">
        <v>443</v>
      </c>
      <c r="S39" s="6">
        <v>49.854301999999898</v>
      </c>
      <c r="T39" s="6">
        <v>18.183297</v>
      </c>
      <c r="U39" s="6"/>
      <c r="V39" s="6"/>
      <c r="W39" s="6"/>
      <c r="X39" s="6"/>
      <c r="Y39" s="6"/>
      <c r="Z39" s="6"/>
      <c r="AA39" s="6"/>
      <c r="AB39" s="6"/>
      <c r="AC39" t="s">
        <v>47</v>
      </c>
      <c r="AD39" s="6" t="s">
        <v>47</v>
      </c>
      <c r="AE39" s="17" t="s">
        <v>47</v>
      </c>
      <c r="AF39" t="str">
        <f t="shared" si="0"/>
        <v>ANO</v>
      </c>
    </row>
    <row r="40" spans="1:37">
      <c r="A40" s="6">
        <v>33</v>
      </c>
      <c r="B40" s="6" t="s">
        <v>446</v>
      </c>
      <c r="C40" s="6" t="s">
        <v>447</v>
      </c>
      <c r="D40" s="6" t="s">
        <v>448</v>
      </c>
      <c r="E40" s="12" t="s">
        <v>449</v>
      </c>
      <c r="F40" s="6" t="s">
        <v>73</v>
      </c>
      <c r="G40" s="11">
        <v>2013</v>
      </c>
      <c r="H40" s="6"/>
      <c r="I40" s="13" t="str">
        <f>HYPERLINK("http://www.svachovka.cz","http://www.svachovka.cz")</f>
        <v>http://www.svachovka.cz</v>
      </c>
      <c r="J40" s="13" t="str">
        <f>HYPERLINK("https://www.facebook.com/gloknerpivovar","https://www.facebook.com/gloknerpivovar")</f>
        <v>https://www.facebook.com/gloknerpivovar</v>
      </c>
      <c r="K40" s="6" t="s">
        <v>450</v>
      </c>
      <c r="L40" s="6"/>
      <c r="M40" s="6" t="s">
        <v>451</v>
      </c>
      <c r="N40" s="6"/>
      <c r="O40" s="6" t="s">
        <v>452</v>
      </c>
      <c r="P40" s="6"/>
      <c r="Q40" s="6"/>
      <c r="R40" s="6" t="s">
        <v>453</v>
      </c>
      <c r="S40" s="6">
        <v>48.827132800000001</v>
      </c>
      <c r="T40" s="6">
        <v>14.363435300000001</v>
      </c>
      <c r="U40" s="6"/>
      <c r="V40" s="6"/>
      <c r="W40" s="6"/>
      <c r="X40" s="6"/>
      <c r="Y40" s="6"/>
      <c r="Z40" s="6"/>
      <c r="AA40" s="6"/>
      <c r="AB40" s="6"/>
      <c r="AD40" s="6"/>
      <c r="AE40" s="16"/>
      <c r="AF40" t="str">
        <f t="shared" si="0"/>
        <v/>
      </c>
    </row>
    <row r="41" spans="1:37">
      <c r="A41" s="6">
        <v>34</v>
      </c>
      <c r="B41" s="6" t="s">
        <v>454</v>
      </c>
      <c r="C41" s="6" t="s">
        <v>455</v>
      </c>
      <c r="D41" s="6" t="s">
        <v>456</v>
      </c>
      <c r="E41" s="12" t="s">
        <v>457</v>
      </c>
      <c r="F41" s="6" t="s">
        <v>73</v>
      </c>
      <c r="G41" s="11">
        <v>2004</v>
      </c>
      <c r="H41" s="6">
        <v>1000</v>
      </c>
      <c r="I41" s="13" t="str">
        <f>HYPERLINK("http://www.jelinkovavila.cz","http://www.jelinkovavila.cz")</f>
        <v>http://www.jelinkovavila.cz</v>
      </c>
      <c r="J41" s="13" t="str">
        <f>HYPERLINK("https://www.facebook.com/HotelPivovarJelinkovaVila","https://www.facebook.com/HotelPivovarJelinkovaVila")</f>
        <v>https://www.facebook.com/HotelPivovarJelinkovaVila</v>
      </c>
      <c r="K41" s="6" t="s">
        <v>458</v>
      </c>
      <c r="L41" s="6"/>
      <c r="M41" s="6" t="s">
        <v>459</v>
      </c>
      <c r="N41" s="6"/>
      <c r="O41" s="6" t="s">
        <v>460</v>
      </c>
      <c r="P41" s="6"/>
      <c r="Q41" s="6"/>
      <c r="R41" s="6" t="s">
        <v>461</v>
      </c>
      <c r="S41" s="6">
        <v>49.354737</v>
      </c>
      <c r="T41" s="6">
        <v>16.010083000000002</v>
      </c>
      <c r="U41" s="6"/>
      <c r="V41" s="6"/>
      <c r="W41" s="6"/>
      <c r="X41" s="6"/>
      <c r="Y41" s="6"/>
      <c r="Z41" s="6" t="s">
        <v>47</v>
      </c>
      <c r="AA41" s="6"/>
      <c r="AB41" s="6"/>
      <c r="AD41" s="6"/>
      <c r="AE41" s="16"/>
      <c r="AF41" t="str">
        <f t="shared" si="0"/>
        <v>ANO</v>
      </c>
    </row>
    <row r="42" spans="1:37">
      <c r="A42" s="6">
        <v>35</v>
      </c>
      <c r="B42" s="6" t="s">
        <v>462</v>
      </c>
      <c r="C42" s="6" t="s">
        <v>463</v>
      </c>
      <c r="D42" s="6" t="s">
        <v>464</v>
      </c>
      <c r="E42" s="12" t="s">
        <v>465</v>
      </c>
      <c r="F42" s="6" t="s">
        <v>73</v>
      </c>
      <c r="G42" s="11">
        <v>2006</v>
      </c>
      <c r="H42" s="6">
        <v>490</v>
      </c>
      <c r="I42" s="13" t="str">
        <f>HYPERLINK("http://www.pivohastrman.cz","http://www.pivohastrman.cz")</f>
        <v>http://www.pivohastrman.cz</v>
      </c>
      <c r="J42" s="6"/>
      <c r="K42" s="6" t="s">
        <v>467</v>
      </c>
      <c r="L42" s="6"/>
      <c r="M42" s="6"/>
      <c r="N42" s="6"/>
      <c r="O42" s="6" t="s">
        <v>468</v>
      </c>
      <c r="P42" s="6" t="s">
        <v>469</v>
      </c>
      <c r="Q42" s="6"/>
      <c r="R42" s="6" t="s">
        <v>470</v>
      </c>
      <c r="S42" s="6">
        <v>50.2878919999999</v>
      </c>
      <c r="T42" s="6">
        <v>12.865694</v>
      </c>
      <c r="U42" s="6"/>
      <c r="V42" s="6"/>
      <c r="W42" s="6"/>
      <c r="X42" s="6"/>
      <c r="Y42" s="6"/>
      <c r="Z42" s="6" t="s">
        <v>47</v>
      </c>
      <c r="AA42" s="6"/>
      <c r="AB42" s="6"/>
      <c r="AD42" s="6"/>
      <c r="AE42" s="17" t="s">
        <v>47</v>
      </c>
      <c r="AF42" t="str">
        <f t="shared" si="0"/>
        <v>ANO</v>
      </c>
    </row>
    <row r="43" spans="1:37">
      <c r="A43" s="19">
        <v>35</v>
      </c>
      <c r="B43" s="20" t="s">
        <v>471</v>
      </c>
      <c r="C43" s="20" t="s">
        <v>472</v>
      </c>
      <c r="D43" s="20" t="s">
        <v>473</v>
      </c>
      <c r="E43" s="23" t="s">
        <v>474</v>
      </c>
      <c r="F43" s="20" t="s">
        <v>113</v>
      </c>
      <c r="G43" s="24">
        <v>2006.2013999999999</v>
      </c>
      <c r="H43" s="19">
        <v>250</v>
      </c>
      <c r="I43" s="20"/>
      <c r="J43" s="20"/>
      <c r="K43" s="26" t="s">
        <v>475</v>
      </c>
      <c r="L43" s="20"/>
      <c r="M43" s="16" t="s">
        <v>476</v>
      </c>
      <c r="N43" s="20"/>
      <c r="O43" s="16" t="s">
        <v>477</v>
      </c>
      <c r="P43" s="20"/>
      <c r="Q43" s="20"/>
      <c r="R43" s="20" t="s">
        <v>478</v>
      </c>
      <c r="S43" s="19">
        <v>50.283774700000002</v>
      </c>
      <c r="T43" s="19">
        <v>13.0098825</v>
      </c>
      <c r="U43" s="20"/>
      <c r="V43" s="20"/>
      <c r="W43" s="20"/>
      <c r="X43" s="20"/>
      <c r="Y43" s="20"/>
      <c r="Z43" s="20"/>
      <c r="AA43" s="20"/>
      <c r="AB43" s="20"/>
      <c r="AC43" s="20"/>
      <c r="AD43" s="20"/>
      <c r="AE43" s="20"/>
      <c r="AF43" t="str">
        <f t="shared" si="0"/>
        <v/>
      </c>
      <c r="AG43" s="20"/>
      <c r="AH43" s="20"/>
      <c r="AI43" s="20"/>
      <c r="AJ43" s="20"/>
      <c r="AK43" s="20"/>
    </row>
    <row r="44" spans="1:37">
      <c r="A44" s="6">
        <v>36</v>
      </c>
      <c r="B44" s="6" t="s">
        <v>479</v>
      </c>
      <c r="C44" s="6" t="s">
        <v>480</v>
      </c>
      <c r="D44" s="6" t="s">
        <v>481</v>
      </c>
      <c r="E44" s="12" t="s">
        <v>482</v>
      </c>
      <c r="F44" s="6" t="s">
        <v>38</v>
      </c>
      <c r="G44" s="11">
        <v>2012</v>
      </c>
      <c r="H44" s="6"/>
      <c r="I44" s="13" t="str">
        <f>HYPERLINK("http://www.pivohendrych.cz","http://www.pivohendrych.cz")</f>
        <v>http://www.pivohendrych.cz</v>
      </c>
      <c r="J44" s="13" t="str">
        <f>HYPERLINK("https://www.facebook.com/PivoHendrych","https://www.facebook.com/PivoHendrych")</f>
        <v>https://www.facebook.com/PivoHendrych</v>
      </c>
      <c r="K44" s="6" t="s">
        <v>485</v>
      </c>
      <c r="L44" s="6"/>
      <c r="M44" s="6" t="s">
        <v>486</v>
      </c>
      <c r="N44" s="6"/>
      <c r="O44" s="6" t="s">
        <v>487</v>
      </c>
      <c r="P44" s="6"/>
      <c r="Q44" s="6"/>
      <c r="R44" s="6" t="s">
        <v>488</v>
      </c>
      <c r="S44" s="6">
        <v>50.654902</v>
      </c>
      <c r="T44" s="6">
        <v>15.603268</v>
      </c>
      <c r="U44" s="6"/>
      <c r="V44" s="6"/>
      <c r="W44" s="6"/>
      <c r="X44" s="6"/>
      <c r="Y44" s="6"/>
      <c r="Z44" s="6"/>
      <c r="AA44" s="6"/>
      <c r="AB44" s="6"/>
      <c r="AD44" s="6"/>
      <c r="AE44" s="16"/>
      <c r="AF44" t="str">
        <f t="shared" si="0"/>
        <v/>
      </c>
    </row>
    <row r="45" spans="1:37">
      <c r="A45" s="6">
        <v>37</v>
      </c>
      <c r="B45" s="6" t="s">
        <v>489</v>
      </c>
      <c r="C45" s="6" t="s">
        <v>490</v>
      </c>
      <c r="D45" s="6" t="s">
        <v>491</v>
      </c>
      <c r="E45" s="12" t="s">
        <v>492</v>
      </c>
      <c r="F45" s="6" t="s">
        <v>57</v>
      </c>
      <c r="G45" s="11">
        <v>1506</v>
      </c>
      <c r="H45" s="6">
        <v>8885</v>
      </c>
      <c r="I45" s="13" t="str">
        <f>HYPERLINK("http://www.pivovar-herold.cz","http://www.pivovar-herold.cz")</f>
        <v>http://www.pivovar-herold.cz</v>
      </c>
      <c r="J45" s="13" t="str">
        <f>HYPERLINK("https://www.facebook.com/pivovarherold","https://www.facebook.com/pivovarherold")</f>
        <v>https://www.facebook.com/pivovarherold</v>
      </c>
      <c r="K45" s="6" t="s">
        <v>493</v>
      </c>
      <c r="L45" s="6"/>
      <c r="M45" s="6" t="s">
        <v>495</v>
      </c>
      <c r="N45" s="6"/>
      <c r="O45" s="6" t="s">
        <v>489</v>
      </c>
      <c r="P45" s="6"/>
      <c r="Q45" s="6"/>
      <c r="R45" s="6" t="s">
        <v>496</v>
      </c>
      <c r="S45" s="6">
        <v>49.557478099999997</v>
      </c>
      <c r="T45" s="6">
        <v>13.958534200000001</v>
      </c>
      <c r="U45" s="6"/>
      <c r="V45" s="6"/>
      <c r="W45" s="6"/>
      <c r="X45" s="6"/>
      <c r="Y45" s="6"/>
      <c r="Z45" s="6"/>
      <c r="AA45" s="6"/>
      <c r="AB45" s="6"/>
      <c r="AD45" s="6"/>
      <c r="AE45" s="16"/>
      <c r="AF45" t="str">
        <f t="shared" si="0"/>
        <v/>
      </c>
    </row>
    <row r="46" spans="1:37">
      <c r="A46" s="6">
        <v>38</v>
      </c>
      <c r="B46" s="6" t="s">
        <v>497</v>
      </c>
      <c r="C46" s="6" t="s">
        <v>498</v>
      </c>
      <c r="D46" s="6" t="s">
        <v>499</v>
      </c>
      <c r="E46" s="12" t="s">
        <v>500</v>
      </c>
      <c r="F46" s="6" t="s">
        <v>91</v>
      </c>
      <c r="G46" s="11">
        <v>1874</v>
      </c>
      <c r="H46" s="6">
        <v>336000</v>
      </c>
      <c r="I46" s="13" t="str">
        <f>HYPERLINK("http://www.holba.cz","http://www.holba.cz")</f>
        <v>http://www.holba.cz</v>
      </c>
      <c r="J46" s="13" t="str">
        <f>HYPERLINK("https://www.facebook.com/PivovarHolba","https://www.facebook.com/PivovarHolba")</f>
        <v>https://www.facebook.com/PivovarHolba</v>
      </c>
      <c r="K46" s="6" t="s">
        <v>501</v>
      </c>
      <c r="L46" s="6" t="s">
        <v>502</v>
      </c>
      <c r="M46" s="6" t="s">
        <v>503</v>
      </c>
      <c r="N46" s="6"/>
      <c r="O46" s="6" t="s">
        <v>504</v>
      </c>
      <c r="P46" s="6"/>
      <c r="Q46" s="6"/>
      <c r="R46" s="6" t="s">
        <v>505</v>
      </c>
      <c r="S46" s="6">
        <v>50.069924999999898</v>
      </c>
      <c r="T46" s="6">
        <v>16.9276909999999</v>
      </c>
      <c r="U46" s="6"/>
      <c r="V46" s="6"/>
      <c r="W46" s="6"/>
      <c r="X46" s="6"/>
      <c r="Y46" s="6"/>
      <c r="Z46" s="6"/>
      <c r="AA46" s="6"/>
      <c r="AB46" s="6"/>
      <c r="AD46" s="6"/>
      <c r="AE46" s="16"/>
      <c r="AF46" t="str">
        <f t="shared" si="0"/>
        <v/>
      </c>
    </row>
    <row r="47" spans="1:37">
      <c r="A47" s="6">
        <v>39</v>
      </c>
      <c r="B47" s="6" t="s">
        <v>506</v>
      </c>
      <c r="C47" s="6" t="s">
        <v>507</v>
      </c>
      <c r="D47" s="6" t="s">
        <v>508</v>
      </c>
      <c r="E47" s="12" t="s">
        <v>509</v>
      </c>
      <c r="F47" s="6" t="s">
        <v>73</v>
      </c>
      <c r="G47" s="11">
        <v>2013</v>
      </c>
      <c r="H47" s="6"/>
      <c r="I47" s="13" t="str">
        <f t="shared" ref="I47:I48" si="3">HYPERLINK("http://www.pivovar-hostivar.cz","http://www.pivovar-hostivar.cz")</f>
        <v>http://www.pivovar-hostivar.cz</v>
      </c>
      <c r="J47" s="13" t="str">
        <f t="shared" ref="J47:J48" si="4">HYPERLINK("https://www.facebook.com/Hostivar","https://www.facebook.com/Hostivar")</f>
        <v>https://www.facebook.com/Hostivar</v>
      </c>
      <c r="K47" s="6" t="s">
        <v>510</v>
      </c>
      <c r="L47" s="6"/>
      <c r="M47" s="6" t="s">
        <v>511</v>
      </c>
      <c r="N47" s="6"/>
      <c r="O47" s="6" t="s">
        <v>506</v>
      </c>
      <c r="P47" s="6"/>
      <c r="Q47" s="6"/>
      <c r="R47" s="6" t="s">
        <v>512</v>
      </c>
      <c r="S47" s="6">
        <v>50.046368899999997</v>
      </c>
      <c r="T47" s="6">
        <v>14.5493519</v>
      </c>
      <c r="U47" s="6"/>
      <c r="V47" s="6"/>
      <c r="W47" s="6"/>
      <c r="X47" s="6"/>
      <c r="Y47" s="6"/>
      <c r="Z47" s="6" t="s">
        <v>47</v>
      </c>
      <c r="AA47" s="6"/>
      <c r="AB47" s="6"/>
      <c r="AD47" s="6"/>
      <c r="AE47" s="17" t="s">
        <v>47</v>
      </c>
      <c r="AF47" t="str">
        <f t="shared" si="0"/>
        <v>ANO</v>
      </c>
    </row>
    <row r="48" spans="1:37">
      <c r="A48" s="6">
        <v>40</v>
      </c>
      <c r="B48" s="6" t="s">
        <v>513</v>
      </c>
      <c r="C48" s="6" t="s">
        <v>514</v>
      </c>
      <c r="D48" s="6" t="s">
        <v>508</v>
      </c>
      <c r="E48" s="12" t="s">
        <v>515</v>
      </c>
      <c r="F48" s="6" t="s">
        <v>73</v>
      </c>
      <c r="G48" s="11">
        <v>2017</v>
      </c>
      <c r="H48" s="6"/>
      <c r="I48" s="13" t="str">
        <f t="shared" si="3"/>
        <v>http://www.pivovar-hostivar.cz</v>
      </c>
      <c r="J48" s="13" t="str">
        <f t="shared" si="4"/>
        <v>https://www.facebook.com/Hostivar</v>
      </c>
      <c r="K48" s="6" t="s">
        <v>517</v>
      </c>
      <c r="L48" s="6"/>
      <c r="M48" s="6" t="s">
        <v>511</v>
      </c>
      <c r="N48" s="6"/>
      <c r="O48" s="6" t="s">
        <v>506</v>
      </c>
      <c r="P48" s="6"/>
      <c r="Q48" s="6"/>
      <c r="R48" s="6" t="s">
        <v>518</v>
      </c>
      <c r="S48" s="6">
        <v>50.049411399999997</v>
      </c>
      <c r="T48" s="6">
        <v>14.5618053</v>
      </c>
      <c r="U48" s="6"/>
      <c r="V48" s="6"/>
      <c r="W48" s="6"/>
      <c r="X48" s="6"/>
      <c r="Y48" s="6"/>
      <c r="Z48" s="6"/>
      <c r="AA48" s="6"/>
      <c r="AB48" s="6"/>
      <c r="AD48" s="6"/>
      <c r="AE48" s="16"/>
      <c r="AF48" t="str">
        <f t="shared" si="0"/>
        <v/>
      </c>
    </row>
    <row r="49" spans="1:37">
      <c r="A49" s="6">
        <v>41</v>
      </c>
      <c r="B49" s="6" t="s">
        <v>519</v>
      </c>
      <c r="C49" s="6" t="s">
        <v>520</v>
      </c>
      <c r="D49" s="6" t="s">
        <v>521</v>
      </c>
      <c r="E49" s="12" t="s">
        <v>522</v>
      </c>
      <c r="F49" s="6" t="s">
        <v>91</v>
      </c>
      <c r="G49" s="11">
        <v>2001</v>
      </c>
      <c r="H49" s="6">
        <v>18200</v>
      </c>
      <c r="I49" s="13" t="str">
        <f>HYPERLINK("http://www.pivovarkacov.cz","http://www.pivovarkacov.cz")</f>
        <v>http://www.pivovarkacov.cz</v>
      </c>
      <c r="J49" s="13" t="str">
        <f>HYPERLINK("https://www.facebook.com/PivovarHubertus","https://www.facebook.com/PivovarHubertus")</f>
        <v>https://www.facebook.com/PivovarHubertus</v>
      </c>
      <c r="K49" s="6" t="s">
        <v>523</v>
      </c>
      <c r="L49" s="6"/>
      <c r="M49" s="6" t="s">
        <v>524</v>
      </c>
      <c r="N49" s="6"/>
      <c r="O49" s="6" t="s">
        <v>519</v>
      </c>
      <c r="P49" s="6"/>
      <c r="Q49" s="15" t="s">
        <v>525</v>
      </c>
      <c r="R49" s="6" t="s">
        <v>526</v>
      </c>
      <c r="S49" s="6">
        <v>49.776848000000001</v>
      </c>
      <c r="T49" s="6">
        <v>15.02938</v>
      </c>
      <c r="U49" s="6"/>
      <c r="V49" s="6"/>
      <c r="W49" s="6"/>
      <c r="X49" s="6"/>
      <c r="Y49" s="6"/>
      <c r="Z49" s="6"/>
      <c r="AA49" s="6"/>
      <c r="AB49" s="6"/>
      <c r="AD49" s="6" t="s">
        <v>47</v>
      </c>
      <c r="AE49" s="17" t="s">
        <v>47</v>
      </c>
      <c r="AF49" t="str">
        <f t="shared" si="0"/>
        <v>ANO</v>
      </c>
    </row>
    <row r="50" spans="1:37">
      <c r="A50" s="6">
        <v>42</v>
      </c>
      <c r="B50" s="6" t="s">
        <v>527</v>
      </c>
      <c r="C50" s="6" t="s">
        <v>528</v>
      </c>
      <c r="D50" s="6" t="s">
        <v>529</v>
      </c>
      <c r="E50" s="12" t="s">
        <v>530</v>
      </c>
      <c r="F50" s="6" t="s">
        <v>73</v>
      </c>
      <c r="G50" s="18">
        <v>2003</v>
      </c>
      <c r="H50" s="6">
        <v>500</v>
      </c>
      <c r="I50" s="13" t="str">
        <f>HYPERLINK("http://www.pivovar-hukvaldy.cz","http://www.pivovar-hukvaldy.cz")</f>
        <v>http://www.pivovar-hukvaldy.cz</v>
      </c>
      <c r="J50" s="13" t="str">
        <f>HYPERLINK("https://www.facebook.com/Minipivovar-Hukvaldy-173650509347200","https://www.facebook.com/Minipivovar-Hukvaldy-173650509347200")</f>
        <v>https://www.facebook.com/Minipivovar-Hukvaldy-173650509347200</v>
      </c>
      <c r="K50" s="6" t="s">
        <v>531</v>
      </c>
      <c r="L50" s="6"/>
      <c r="M50" s="6"/>
      <c r="N50" s="6"/>
      <c r="O50" s="6" t="s">
        <v>532</v>
      </c>
      <c r="P50" s="6" t="s">
        <v>533</v>
      </c>
      <c r="Q50" s="6" t="s">
        <v>534</v>
      </c>
      <c r="R50" s="6" t="s">
        <v>535</v>
      </c>
      <c r="S50" s="6">
        <v>49.634157500000001</v>
      </c>
      <c r="T50" s="6">
        <v>18.2164225</v>
      </c>
      <c r="U50" s="6"/>
      <c r="V50" s="6"/>
      <c r="W50" s="6"/>
      <c r="X50" s="6" t="s">
        <v>47</v>
      </c>
      <c r="Y50" s="6"/>
      <c r="Z50" s="6"/>
      <c r="AA50" s="6"/>
      <c r="AB50" s="6"/>
      <c r="AD50" s="6"/>
      <c r="AE50" s="17" t="s">
        <v>47</v>
      </c>
      <c r="AF50" t="str">
        <f t="shared" si="0"/>
        <v>ANO</v>
      </c>
    </row>
    <row r="51" spans="1:37">
      <c r="A51" s="6">
        <v>43</v>
      </c>
      <c r="B51" s="6" t="s">
        <v>536</v>
      </c>
      <c r="C51" s="6" t="s">
        <v>537</v>
      </c>
      <c r="D51" s="6" t="s">
        <v>538</v>
      </c>
      <c r="E51" s="12" t="s">
        <v>539</v>
      </c>
      <c r="F51" s="6" t="s">
        <v>73</v>
      </c>
      <c r="G51" s="11">
        <v>2013</v>
      </c>
      <c r="H51" s="6"/>
      <c r="I51" s="13" t="str">
        <f>HYPERLINK("http://www.pivochalupnik.cz","http://www.pivochalupnik.cz")</f>
        <v>http://www.pivochalupnik.cz</v>
      </c>
      <c r="J51" s="13" t="str">
        <f>HYPERLINK("https://www.facebook.com/PivoChalupnik","https://www.facebook.com/PivoChalupnik")</f>
        <v>https://www.facebook.com/PivoChalupnik</v>
      </c>
      <c r="K51" s="6" t="s">
        <v>540</v>
      </c>
      <c r="L51" s="6"/>
      <c r="M51" s="6" t="s">
        <v>541</v>
      </c>
      <c r="N51" s="6"/>
      <c r="O51" s="6" t="s">
        <v>542</v>
      </c>
      <c r="P51" s="6"/>
      <c r="Q51" s="6"/>
      <c r="R51" s="6" t="s">
        <v>543</v>
      </c>
      <c r="S51" s="6">
        <v>50.383850000000002</v>
      </c>
      <c r="T51" s="6">
        <v>13.111033300000001</v>
      </c>
      <c r="U51" s="6"/>
      <c r="V51" s="6"/>
      <c r="W51" s="6"/>
      <c r="X51" s="6"/>
      <c r="Y51" s="6"/>
      <c r="Z51" s="6" t="s">
        <v>47</v>
      </c>
      <c r="AA51" s="6"/>
      <c r="AB51" s="6"/>
      <c r="AD51" s="6"/>
      <c r="AE51" s="17" t="s">
        <v>47</v>
      </c>
      <c r="AF51" t="str">
        <f t="shared" si="0"/>
        <v>ANO</v>
      </c>
    </row>
    <row r="52" spans="1:37">
      <c r="A52" s="6">
        <v>44</v>
      </c>
      <c r="B52" s="6" t="s">
        <v>544</v>
      </c>
      <c r="C52" s="6" t="s">
        <v>545</v>
      </c>
      <c r="D52" s="6" t="s">
        <v>546</v>
      </c>
      <c r="E52" s="12" t="s">
        <v>547</v>
      </c>
      <c r="F52" s="6" t="s">
        <v>91</v>
      </c>
      <c r="G52" s="11">
        <v>1573</v>
      </c>
      <c r="H52" s="6">
        <v>50000</v>
      </c>
      <c r="I52" s="13" t="str">
        <f>HYPERLINK("http://www.chodovar.cz","http://www.chodovar.cz")</f>
        <v>http://www.chodovar.cz</v>
      </c>
      <c r="J52" s="13" t="str">
        <f>HYPERLINK("https://www.facebook.com/ChodovarCZ","https://www.facebook.com/ChodovarCZ")</f>
        <v>https://www.facebook.com/ChodovarCZ</v>
      </c>
      <c r="K52" s="6" t="s">
        <v>549</v>
      </c>
      <c r="L52" s="6"/>
      <c r="M52" s="6" t="s">
        <v>550</v>
      </c>
      <c r="N52" s="6"/>
      <c r="O52" s="6" t="s">
        <v>551</v>
      </c>
      <c r="P52" s="6"/>
      <c r="Q52" s="6"/>
      <c r="R52" s="6" t="s">
        <v>552</v>
      </c>
      <c r="S52" s="6">
        <v>49.893472199999998</v>
      </c>
      <c r="T52" s="6">
        <v>12.7274133</v>
      </c>
      <c r="U52" s="6"/>
      <c r="V52" s="6"/>
      <c r="W52" s="6"/>
      <c r="X52" s="6"/>
      <c r="Y52" s="6"/>
      <c r="Z52" s="6"/>
      <c r="AA52" s="6"/>
      <c r="AB52" s="6"/>
      <c r="AD52" s="6"/>
      <c r="AE52" s="16"/>
      <c r="AF52" t="str">
        <f t="shared" si="0"/>
        <v/>
      </c>
    </row>
    <row r="53" spans="1:37">
      <c r="A53" s="19">
        <v>44</v>
      </c>
      <c r="B53" s="20" t="s">
        <v>553</v>
      </c>
      <c r="C53" s="20" t="s">
        <v>554</v>
      </c>
      <c r="D53" s="20" t="s">
        <v>555</v>
      </c>
      <c r="E53" s="23" t="s">
        <v>556</v>
      </c>
      <c r="F53" s="20" t="s">
        <v>113</v>
      </c>
      <c r="G53" s="24">
        <v>1860.2009</v>
      </c>
      <c r="H53" s="20"/>
      <c r="I53" s="16" t="s">
        <v>557</v>
      </c>
      <c r="J53" s="20"/>
      <c r="K53" s="26" t="s">
        <v>558</v>
      </c>
      <c r="L53" s="20" t="s">
        <v>291</v>
      </c>
      <c r="M53" s="20" t="s">
        <v>292</v>
      </c>
      <c r="N53" s="20" t="s">
        <v>559</v>
      </c>
      <c r="O53" s="20" t="s">
        <v>553</v>
      </c>
      <c r="P53" s="20"/>
      <c r="Q53" s="20"/>
      <c r="R53" s="20" t="s">
        <v>560</v>
      </c>
      <c r="S53" s="19">
        <v>48.856232499999997</v>
      </c>
      <c r="T53" s="19">
        <v>16.045101899999999</v>
      </c>
      <c r="U53" s="20"/>
      <c r="V53" s="20"/>
      <c r="W53" s="20"/>
      <c r="X53" s="20"/>
      <c r="Y53" s="20"/>
      <c r="Z53" s="20"/>
      <c r="AA53" s="20"/>
      <c r="AB53" s="20"/>
      <c r="AC53" s="20"/>
      <c r="AD53" s="20"/>
      <c r="AE53" s="20"/>
      <c r="AF53" t="str">
        <f t="shared" si="0"/>
        <v/>
      </c>
      <c r="AG53" s="20"/>
      <c r="AH53" s="20"/>
      <c r="AI53" s="20"/>
      <c r="AJ53" s="20"/>
      <c r="AK53" s="20"/>
    </row>
    <row r="54" spans="1:37">
      <c r="A54" s="6">
        <v>45</v>
      </c>
      <c r="B54" s="6" t="s">
        <v>561</v>
      </c>
      <c r="C54" s="6" t="s">
        <v>562</v>
      </c>
      <c r="D54" s="6" t="s">
        <v>561</v>
      </c>
      <c r="E54" s="12" t="s">
        <v>563</v>
      </c>
      <c r="F54" s="6" t="s">
        <v>91</v>
      </c>
      <c r="G54" s="11">
        <v>2009</v>
      </c>
      <c r="H54" s="6">
        <v>19800</v>
      </c>
      <c r="I54" s="13" t="str">
        <f>HYPERLINK("http://www.pivovarchotebor.cz","http://www.pivovarchotebor.cz")</f>
        <v>http://www.pivovarchotebor.cz</v>
      </c>
      <c r="J54" s="15" t="s">
        <v>565</v>
      </c>
      <c r="K54" s="6" t="s">
        <v>566</v>
      </c>
      <c r="L54" s="6"/>
      <c r="M54" s="6" t="s">
        <v>567</v>
      </c>
      <c r="N54" s="6"/>
      <c r="O54" s="6" t="s">
        <v>568</v>
      </c>
      <c r="P54" s="6"/>
      <c r="Q54" s="6"/>
      <c r="R54" s="6" t="s">
        <v>569</v>
      </c>
      <c r="S54" s="6">
        <v>49.709472499999997</v>
      </c>
      <c r="T54" s="6">
        <v>15.69627</v>
      </c>
      <c r="U54" s="6"/>
      <c r="V54" s="6"/>
      <c r="W54" s="6"/>
      <c r="X54" s="6"/>
      <c r="Y54" s="6"/>
      <c r="Z54" s="6"/>
      <c r="AA54" s="6"/>
      <c r="AB54" s="6"/>
      <c r="AD54" s="6"/>
      <c r="AE54" s="17" t="s">
        <v>47</v>
      </c>
      <c r="AF54" t="str">
        <f t="shared" si="0"/>
        <v>ANO</v>
      </c>
    </row>
    <row r="55" spans="1:37">
      <c r="A55" s="6">
        <v>46</v>
      </c>
      <c r="B55" s="6" t="s">
        <v>570</v>
      </c>
      <c r="C55" s="6" t="s">
        <v>571</v>
      </c>
      <c r="D55" s="6" t="s">
        <v>570</v>
      </c>
      <c r="E55" s="12" t="s">
        <v>572</v>
      </c>
      <c r="F55" s="6" t="s">
        <v>57</v>
      </c>
      <c r="G55" s="11">
        <v>2012</v>
      </c>
      <c r="H55" s="6">
        <v>250</v>
      </c>
      <c r="I55" s="13" t="str">
        <f>HYPERLINK("http://www.pivovarchotoviny.cz","http://www.pivovarchotoviny.cz")</f>
        <v>http://www.pivovarchotoviny.cz</v>
      </c>
      <c r="J55" s="13" t="str">
        <f>HYPERLINK("https://www.facebook.com/Pivovar-Mayzus-Chotoviny-301654473285343","https://www.facebook.com/Pivovar-Mayzus-Chotoviny-301654473285343")</f>
        <v>https://www.facebook.com/Pivovar-Mayzus-Chotoviny-301654473285343</v>
      </c>
      <c r="K55" s="6" t="s">
        <v>577</v>
      </c>
      <c r="L55" s="6"/>
      <c r="M55" s="6" t="s">
        <v>579</v>
      </c>
      <c r="N55" s="6"/>
      <c r="O55" s="6" t="s">
        <v>580</v>
      </c>
      <c r="P55" s="6"/>
      <c r="Q55" s="6"/>
      <c r="R55" s="6" t="s">
        <v>581</v>
      </c>
      <c r="S55" s="6">
        <v>49.478971000000001</v>
      </c>
      <c r="T55" s="6">
        <v>14.6810949999999</v>
      </c>
      <c r="U55" s="6"/>
      <c r="V55" s="6"/>
      <c r="W55" s="6"/>
      <c r="X55" s="6"/>
      <c r="Y55" s="6"/>
      <c r="Z55" s="6"/>
      <c r="AA55" s="6"/>
      <c r="AB55" s="6"/>
      <c r="AD55" s="6"/>
      <c r="AE55" s="16"/>
      <c r="AF55" t="str">
        <f t="shared" si="0"/>
        <v/>
      </c>
    </row>
    <row r="56" spans="1:37">
      <c r="A56" s="6">
        <v>47</v>
      </c>
      <c r="B56" s="6" t="s">
        <v>582</v>
      </c>
      <c r="C56" s="6" t="s">
        <v>583</v>
      </c>
      <c r="D56" s="6" t="s">
        <v>584</v>
      </c>
      <c r="E56" s="12" t="s">
        <v>585</v>
      </c>
      <c r="F56" s="6" t="s">
        <v>73</v>
      </c>
      <c r="G56" s="11">
        <v>2012</v>
      </c>
      <c r="H56" s="6"/>
      <c r="I56" s="13" t="str">
        <f>HYPERLINK("http://www.restauracestaraskola.cz","http://www.restauracestaraskola.cz")</f>
        <v>http://www.restauracestaraskola.cz</v>
      </c>
      <c r="J56" s="13" t="str">
        <f>HYPERLINK("https://www.facebook.com/PivovarARestauraceStaraSkola","https://www.facebook.com/PivovarARestauraceStaraSkola")</f>
        <v>https://www.facebook.com/PivovarARestauraceStaraSkola</v>
      </c>
      <c r="K56" s="6" t="s">
        <v>577</v>
      </c>
      <c r="L56" s="6"/>
      <c r="M56" s="6" t="s">
        <v>587</v>
      </c>
      <c r="N56" s="6"/>
      <c r="O56" s="6" t="s">
        <v>588</v>
      </c>
      <c r="P56" s="6" t="s">
        <v>589</v>
      </c>
      <c r="Q56" s="6"/>
      <c r="R56" s="6" t="s">
        <v>590</v>
      </c>
      <c r="S56" s="6">
        <v>49.467396000000001</v>
      </c>
      <c r="T56" s="6">
        <v>13.1735229999999</v>
      </c>
      <c r="U56" s="6"/>
      <c r="V56" s="6"/>
      <c r="W56" s="6"/>
      <c r="X56" s="6"/>
      <c r="Y56" s="6"/>
      <c r="Z56" s="6"/>
      <c r="AA56" s="6"/>
      <c r="AB56" s="6"/>
      <c r="AD56" s="6"/>
      <c r="AE56" s="16"/>
      <c r="AF56" t="str">
        <f t="shared" si="0"/>
        <v/>
      </c>
    </row>
    <row r="57" spans="1:37">
      <c r="A57" s="6">
        <v>48</v>
      </c>
      <c r="B57" s="6" t="s">
        <v>591</v>
      </c>
      <c r="C57" s="6" t="s">
        <v>592</v>
      </c>
      <c r="D57" s="6" t="s">
        <v>591</v>
      </c>
      <c r="E57" s="12" t="s">
        <v>593</v>
      </c>
      <c r="F57" s="6" t="s">
        <v>38</v>
      </c>
      <c r="G57" s="11">
        <v>2010</v>
      </c>
      <c r="H57" s="6">
        <v>400</v>
      </c>
      <c r="I57" s="13" t="str">
        <f>HYPERLINK("http://kutilkovapalirna.cz","http://kutilkovapalirna.cz")</f>
        <v>http://kutilkovapalirna.cz</v>
      </c>
      <c r="J57" s="13" t="str">
        <f>HYPERLINK("https://www.facebook.com/kutilkovapalirna","https://www.facebook.com/kutilkovapalirna")</f>
        <v>https://www.facebook.com/kutilkovapalirna</v>
      </c>
      <c r="K57" s="6" t="s">
        <v>594</v>
      </c>
      <c r="L57" s="6"/>
      <c r="M57" s="6" t="s">
        <v>595</v>
      </c>
      <c r="N57" s="6"/>
      <c r="O57" s="6" t="s">
        <v>596</v>
      </c>
      <c r="P57" s="6" t="s">
        <v>597</v>
      </c>
      <c r="Q57" s="6"/>
      <c r="R57" s="6" t="s">
        <v>598</v>
      </c>
      <c r="S57" s="6">
        <v>49.893509000000002</v>
      </c>
      <c r="T57" s="6">
        <v>15.566082</v>
      </c>
      <c r="U57" s="6"/>
      <c r="V57" s="6"/>
      <c r="W57" s="6"/>
      <c r="X57" s="6"/>
      <c r="Y57" s="6" t="s">
        <v>47</v>
      </c>
      <c r="Z57" s="6" t="s">
        <v>47</v>
      </c>
      <c r="AA57" s="6"/>
      <c r="AB57" s="6"/>
      <c r="AD57" s="6"/>
      <c r="AE57" s="17" t="s">
        <v>47</v>
      </c>
      <c r="AF57" t="str">
        <f t="shared" si="0"/>
        <v>ANO</v>
      </c>
    </row>
    <row r="58" spans="1:37">
      <c r="A58" s="6">
        <v>49</v>
      </c>
      <c r="B58" s="6" t="s">
        <v>599</v>
      </c>
      <c r="C58" s="6" t="s">
        <v>600</v>
      </c>
      <c r="D58" s="32" t="s">
        <v>599</v>
      </c>
      <c r="E58" s="12" t="s">
        <v>601</v>
      </c>
      <c r="F58" s="6" t="s">
        <v>73</v>
      </c>
      <c r="G58" s="11">
        <v>1992</v>
      </c>
      <c r="H58" s="6">
        <v>2000</v>
      </c>
      <c r="I58" s="13" t="str">
        <f>HYPERLINK("http://www.pivovarskydvur.cz","http://www.pivovarskydvur.cz")</f>
        <v>http://www.pivovarskydvur.cz</v>
      </c>
      <c r="J58" s="33" t="s">
        <v>602</v>
      </c>
      <c r="K58" s="32" t="s">
        <v>603</v>
      </c>
      <c r="L58" s="6"/>
      <c r="M58" s="32" t="s">
        <v>600</v>
      </c>
      <c r="N58" s="6"/>
      <c r="O58" s="32" t="s">
        <v>604</v>
      </c>
      <c r="P58" s="32" t="s">
        <v>600</v>
      </c>
      <c r="Q58" s="6"/>
      <c r="R58" s="6" t="s">
        <v>605</v>
      </c>
      <c r="S58" s="6">
        <v>50.062801999999898</v>
      </c>
      <c r="T58" s="6">
        <v>14.233389000000001</v>
      </c>
      <c r="U58" s="6"/>
      <c r="V58" s="6"/>
      <c r="W58" s="6"/>
      <c r="X58" s="6"/>
      <c r="Y58" s="6"/>
      <c r="Z58" s="6"/>
      <c r="AA58" s="6"/>
      <c r="AB58" s="6"/>
      <c r="AD58" s="6" t="s">
        <v>47</v>
      </c>
      <c r="AE58" s="17" t="s">
        <v>47</v>
      </c>
      <c r="AF58" t="str">
        <f t="shared" si="0"/>
        <v>ANO</v>
      </c>
    </row>
    <row r="59" spans="1:37">
      <c r="A59" s="6">
        <v>50</v>
      </c>
      <c r="B59" s="6" t="s">
        <v>606</v>
      </c>
      <c r="C59" s="6" t="s">
        <v>607</v>
      </c>
      <c r="D59" s="6" t="s">
        <v>606</v>
      </c>
      <c r="E59" s="12" t="s">
        <v>608</v>
      </c>
      <c r="F59" s="6" t="s">
        <v>57</v>
      </c>
      <c r="G59" s="11">
        <v>2006</v>
      </c>
      <c r="H59" s="6">
        <v>500</v>
      </c>
      <c r="I59" s="13" t="str">
        <f>HYPERLINK("http://www.vysebrodskypivovar.cz","http://www.vysebrodskypivovar.cz")</f>
        <v>http://www.vysebrodskypivovar.cz</v>
      </c>
      <c r="J59" s="13" t="str">
        <f>HYPERLINK("https://www.facebook.com/minipivovar","https://www.facebook.com/minipivovar")</f>
        <v>https://www.facebook.com/minipivovar</v>
      </c>
      <c r="K59" s="6" t="s">
        <v>609</v>
      </c>
      <c r="L59" s="6"/>
      <c r="M59" s="6" t="s">
        <v>610</v>
      </c>
      <c r="N59" s="6"/>
      <c r="O59" s="6" t="s">
        <v>611</v>
      </c>
      <c r="P59" s="6" t="s">
        <v>612</v>
      </c>
      <c r="Q59" s="6"/>
      <c r="R59" s="6" t="s">
        <v>613</v>
      </c>
      <c r="S59" s="6">
        <v>48.616140000000001</v>
      </c>
      <c r="T59" s="6">
        <v>14.312759399999999</v>
      </c>
      <c r="U59" s="6"/>
      <c r="V59" s="6"/>
      <c r="W59" s="6"/>
      <c r="X59" s="6"/>
      <c r="Y59" s="6"/>
      <c r="Z59" s="6"/>
      <c r="AA59" s="6"/>
      <c r="AB59" s="6"/>
      <c r="AD59" s="6"/>
      <c r="AE59" s="16"/>
      <c r="AF59" t="str">
        <f t="shared" si="0"/>
        <v/>
      </c>
    </row>
    <row r="60" spans="1:37" ht="8.25" customHeight="1">
      <c r="A60" s="6">
        <v>51</v>
      </c>
      <c r="B60" s="6" t="s">
        <v>87</v>
      </c>
      <c r="C60" s="6" t="s">
        <v>614</v>
      </c>
      <c r="D60" s="6" t="s">
        <v>87</v>
      </c>
      <c r="E60" s="12" t="s">
        <v>615</v>
      </c>
      <c r="F60" s="6" t="s">
        <v>91</v>
      </c>
      <c r="G60" s="11">
        <v>1894</v>
      </c>
      <c r="H60" s="6">
        <v>77000</v>
      </c>
      <c r="I60" s="13" t="str">
        <f>HYPERLINK("http://www.pivovar-uherskybrod.cz","http://www.pivovar-uherskybrod.cz")</f>
        <v>http://www.pivovar-uherskybrod.cz</v>
      </c>
      <c r="J60" s="13" t="str">
        <f>HYPERLINK("https://www.facebook.com/pivovarub","https://www.facebook.com/pivovarub")</f>
        <v>https://www.facebook.com/pivovarub</v>
      </c>
      <c r="K60" s="6" t="s">
        <v>616</v>
      </c>
      <c r="L60" s="6" t="s">
        <v>308</v>
      </c>
      <c r="M60" s="6" t="s">
        <v>309</v>
      </c>
      <c r="N60" s="6" t="s">
        <v>617</v>
      </c>
      <c r="O60" s="6" t="s">
        <v>618</v>
      </c>
      <c r="P60" s="6"/>
      <c r="Q60" s="6"/>
      <c r="R60" s="6" t="s">
        <v>619</v>
      </c>
      <c r="S60" s="6">
        <v>49.024014999999899</v>
      </c>
      <c r="T60" s="6">
        <v>17.655249000000001</v>
      </c>
      <c r="U60" s="6"/>
      <c r="V60" s="6"/>
      <c r="W60" s="6"/>
      <c r="X60" s="6"/>
      <c r="Y60" s="6"/>
      <c r="Z60" s="6"/>
      <c r="AA60" s="6" t="s">
        <v>47</v>
      </c>
      <c r="AB60" s="6"/>
      <c r="AD60" s="6"/>
      <c r="AE60" s="17" t="s">
        <v>47</v>
      </c>
      <c r="AF60" t="str">
        <f t="shared" si="0"/>
        <v>ANO</v>
      </c>
    </row>
    <row r="61" spans="1:37">
      <c r="A61" s="6">
        <v>52</v>
      </c>
      <c r="B61" s="6" t="s">
        <v>620</v>
      </c>
      <c r="C61" s="6" t="s">
        <v>621</v>
      </c>
      <c r="D61" s="6" t="s">
        <v>622</v>
      </c>
      <c r="E61" s="12" t="s">
        <v>623</v>
      </c>
      <c r="F61" s="6" t="s">
        <v>73</v>
      </c>
      <c r="G61" s="11">
        <v>1999</v>
      </c>
      <c r="H61" s="6">
        <v>650</v>
      </c>
      <c r="I61" s="13" t="str">
        <f>HYPERLINK("http://www.ukralejecminka.cz","http://www.ukralejecminka.cz")</f>
        <v>http://www.ukralejecminka.cz</v>
      </c>
      <c r="J61" s="13" t="str">
        <f>HYPERLINK("https://www.facebook.com/restaurace.jecminek","https://www.facebook.com/restaurace.jecminek")</f>
        <v>https://www.facebook.com/restaurace.jecminek</v>
      </c>
      <c r="K61" s="6" t="s">
        <v>624</v>
      </c>
      <c r="L61" s="6"/>
      <c r="M61" s="6"/>
      <c r="N61" s="6"/>
      <c r="O61" s="6" t="s">
        <v>625</v>
      </c>
      <c r="P61" s="6" t="s">
        <v>620</v>
      </c>
      <c r="Q61" s="6"/>
      <c r="R61" s="6" t="s">
        <v>626</v>
      </c>
      <c r="S61" s="6">
        <v>49.472256000000002</v>
      </c>
      <c r="T61" s="6">
        <v>17.116593000000002</v>
      </c>
      <c r="U61" s="6"/>
      <c r="V61" s="6"/>
      <c r="W61" s="6"/>
      <c r="X61" s="6" t="s">
        <v>47</v>
      </c>
      <c r="Y61" s="6" t="s">
        <v>47</v>
      </c>
      <c r="Z61" s="6"/>
      <c r="AA61" s="6"/>
      <c r="AB61" s="6"/>
      <c r="AD61" s="6"/>
      <c r="AE61" s="17" t="s">
        <v>47</v>
      </c>
      <c r="AF61" t="str">
        <f t="shared" si="0"/>
        <v>ANO</v>
      </c>
    </row>
    <row r="62" spans="1:37">
      <c r="A62" s="6">
        <v>53</v>
      </c>
      <c r="B62" s="6" t="s">
        <v>627</v>
      </c>
      <c r="C62" s="6" t="s">
        <v>628</v>
      </c>
      <c r="D62" s="6" t="s">
        <v>627</v>
      </c>
      <c r="E62" s="12" t="s">
        <v>629</v>
      </c>
      <c r="F62" s="6" t="s">
        <v>38</v>
      </c>
      <c r="G62" s="11">
        <v>2011</v>
      </c>
      <c r="H62" s="6"/>
      <c r="I62" s="13" t="str">
        <f>HYPERLINK("http://www.minipivovarjesenik.cz","http://www.minipivovarjesenik.cz")</f>
        <v>http://www.minipivovarjesenik.cz</v>
      </c>
      <c r="J62" s="13" t="str">
        <f>HYPERLINK("https://www.facebook.com/Minipivovar-Jesen%C3%ADk-121589417944802","https://www.facebook.com/Minipivovar-Jesen%C3%ADk-121589417944802")</f>
        <v>https://www.facebook.com/Minipivovar-Jesen%C3%ADk-121589417944802</v>
      </c>
      <c r="K62" s="6" t="s">
        <v>630</v>
      </c>
      <c r="L62" s="6"/>
      <c r="M62" s="6"/>
      <c r="N62" s="6"/>
      <c r="O62" s="6" t="s">
        <v>631</v>
      </c>
      <c r="P62" s="6"/>
      <c r="Q62" s="15" t="s">
        <v>632</v>
      </c>
      <c r="R62" s="6" t="s">
        <v>633</v>
      </c>
      <c r="S62" s="6">
        <v>50.232343999999898</v>
      </c>
      <c r="T62" s="6">
        <v>17.201149999999899</v>
      </c>
      <c r="U62" s="6"/>
      <c r="V62" s="6"/>
      <c r="W62" s="6"/>
      <c r="X62" s="6" t="s">
        <v>47</v>
      </c>
      <c r="Y62" s="6"/>
      <c r="Z62" s="6"/>
      <c r="AA62" s="6"/>
      <c r="AB62" s="6"/>
      <c r="AD62" s="6"/>
      <c r="AE62" s="17" t="s">
        <v>47</v>
      </c>
      <c r="AF62" t="str">
        <f t="shared" si="0"/>
        <v>ANO</v>
      </c>
    </row>
    <row r="63" spans="1:37">
      <c r="A63" s="6">
        <v>54</v>
      </c>
      <c r="B63" s="6" t="s">
        <v>634</v>
      </c>
      <c r="C63" s="6" t="s">
        <v>635</v>
      </c>
      <c r="D63" s="6" t="s">
        <v>636</v>
      </c>
      <c r="E63" s="12" t="s">
        <v>637</v>
      </c>
      <c r="F63" s="6" t="s">
        <v>91</v>
      </c>
      <c r="G63" s="11">
        <v>1860</v>
      </c>
      <c r="H63" s="6">
        <v>140000</v>
      </c>
      <c r="I63" s="13" t="str">
        <f>HYPERLINK("http://www.pivovar-jihlava.cz","http://www.pivovar-jihlava.cz")</f>
        <v>http://www.pivovar-jihlava.cz</v>
      </c>
      <c r="J63" s="13" t="str">
        <f>HYPERLINK("https://www.facebook.com/pivojezek","https://www.facebook.com/pivojezek")</f>
        <v>https://www.facebook.com/pivojezek</v>
      </c>
      <c r="K63" s="6" t="s">
        <v>640</v>
      </c>
      <c r="L63" s="6" t="s">
        <v>308</v>
      </c>
      <c r="M63" s="6" t="s">
        <v>309</v>
      </c>
      <c r="N63" s="6"/>
      <c r="O63" s="6" t="s">
        <v>641</v>
      </c>
      <c r="P63" s="6"/>
      <c r="Q63" s="6"/>
      <c r="R63" s="6" t="s">
        <v>642</v>
      </c>
      <c r="S63" s="6">
        <v>49.397410999999899</v>
      </c>
      <c r="T63" s="6">
        <v>15.582547</v>
      </c>
      <c r="U63" s="6"/>
      <c r="V63" s="6"/>
      <c r="W63" s="6"/>
      <c r="X63" s="6"/>
      <c r="Y63" s="6" t="s">
        <v>47</v>
      </c>
      <c r="Z63" s="6"/>
      <c r="AA63" s="6"/>
      <c r="AB63" s="6"/>
      <c r="AD63" s="6"/>
      <c r="AE63" s="17" t="s">
        <v>47</v>
      </c>
      <c r="AF63" t="str">
        <f t="shared" si="0"/>
        <v>ANO</v>
      </c>
    </row>
    <row r="64" spans="1:37">
      <c r="A64" s="6">
        <v>55</v>
      </c>
      <c r="B64" s="6" t="s">
        <v>643</v>
      </c>
      <c r="C64" s="6" t="s">
        <v>644</v>
      </c>
      <c r="D64" s="6" t="s">
        <v>645</v>
      </c>
      <c r="E64" s="12" t="s">
        <v>646</v>
      </c>
      <c r="F64" s="6" t="s">
        <v>73</v>
      </c>
      <c r="G64" s="11">
        <v>2009</v>
      </c>
      <c r="H64" s="6"/>
      <c r="I64" s="13" t="str">
        <f>HYPERLINK("http://www.jihomestskypivovar.cz","http://www.jihomestskypivovar.cz")</f>
        <v>http://www.jihomestskypivovar.cz</v>
      </c>
      <c r="J64" s="13" t="str">
        <f>HYPERLINK("https://www.facebook.com/Jihom%C4%9Bstsk%C3%BD-pivovar-117331261614253","https://www.facebook.com/Jihom%C4%9Bstsk%C3%BD-pivovar-117331261614253")</f>
        <v>https://www.facebook.com/Jihom%C4%9Bstsk%C3%BD-pivovar-117331261614253</v>
      </c>
      <c r="K64" s="6" t="s">
        <v>649</v>
      </c>
      <c r="L64" s="6"/>
      <c r="M64" s="6" t="s">
        <v>650</v>
      </c>
      <c r="N64" s="6"/>
      <c r="O64" s="6" t="s">
        <v>651</v>
      </c>
      <c r="P64" s="6" t="s">
        <v>644</v>
      </c>
      <c r="Q64" s="6"/>
      <c r="R64" s="6" t="s">
        <v>652</v>
      </c>
      <c r="S64" s="6">
        <v>50.031468599999997</v>
      </c>
      <c r="T64" s="6">
        <v>14.5197483</v>
      </c>
      <c r="U64" s="6"/>
      <c r="V64" s="6"/>
      <c r="W64" s="6"/>
      <c r="X64" s="6" t="s">
        <v>47</v>
      </c>
      <c r="Y64" s="6"/>
      <c r="Z64" s="6"/>
      <c r="AA64" s="6"/>
      <c r="AB64" s="6"/>
      <c r="AD64" s="6"/>
      <c r="AE64" s="17" t="s">
        <v>47</v>
      </c>
      <c r="AF64" t="str">
        <f t="shared" si="0"/>
        <v>ANO</v>
      </c>
    </row>
    <row r="65" spans="1:32">
      <c r="A65" s="6">
        <v>56</v>
      </c>
      <c r="B65" s="6" t="s">
        <v>653</v>
      </c>
      <c r="C65" s="6" t="s">
        <v>654</v>
      </c>
      <c r="D65" s="6" t="s">
        <v>655</v>
      </c>
      <c r="E65" s="12" t="s">
        <v>656</v>
      </c>
      <c r="F65" s="6" t="s">
        <v>73</v>
      </c>
      <c r="G65" s="11">
        <v>2009</v>
      </c>
      <c r="H65" s="6">
        <v>650</v>
      </c>
      <c r="I65" s="13" t="str">
        <f>HYPERLINK("http://www.mosteckykahan.cz","http://www.mosteckykahan.cz")</f>
        <v>http://www.mosteckykahan.cz</v>
      </c>
      <c r="J65" s="13" t="str">
        <f>HYPERLINK("https://www.facebook.com/MosteckyKahanUMachyho2","https://www.facebook.com/MosteckyKahanUMachyho2")</f>
        <v>https://www.facebook.com/MosteckyKahanUMachyho2</v>
      </c>
      <c r="K65" s="6" t="s">
        <v>657</v>
      </c>
      <c r="L65" s="6"/>
      <c r="M65" s="6" t="s">
        <v>658</v>
      </c>
      <c r="N65" s="6"/>
      <c r="O65" s="6" t="s">
        <v>659</v>
      </c>
      <c r="P65" s="6"/>
      <c r="Q65" s="6" t="s">
        <v>660</v>
      </c>
      <c r="R65" s="6" t="s">
        <v>661</v>
      </c>
      <c r="S65" s="6">
        <v>50.497145000000003</v>
      </c>
      <c r="T65" s="6">
        <v>13.640786</v>
      </c>
      <c r="U65" s="6"/>
      <c r="V65" s="6"/>
      <c r="W65" s="6"/>
      <c r="X65" s="6"/>
      <c r="Y65" s="6"/>
      <c r="Z65" s="6" t="s">
        <v>47</v>
      </c>
      <c r="AA65" s="6"/>
      <c r="AB65" s="6"/>
      <c r="AD65" s="6"/>
      <c r="AE65" s="17" t="s">
        <v>47</v>
      </c>
      <c r="AF65" t="str">
        <f t="shared" si="0"/>
        <v>ANO</v>
      </c>
    </row>
    <row r="66" spans="1:32">
      <c r="A66" s="6">
        <v>57</v>
      </c>
      <c r="B66" s="6" t="s">
        <v>662</v>
      </c>
      <c r="C66" s="6" t="s">
        <v>663</v>
      </c>
      <c r="D66" s="6" t="s">
        <v>574</v>
      </c>
      <c r="E66" s="12" t="s">
        <v>664</v>
      </c>
      <c r="F66" s="6" t="s">
        <v>73</v>
      </c>
      <c r="G66" s="11">
        <v>2012</v>
      </c>
      <c r="H66" s="6"/>
      <c r="I66" s="15" t="s">
        <v>665</v>
      </c>
      <c r="J66" s="15" t="s">
        <v>666</v>
      </c>
      <c r="K66" s="6" t="s">
        <v>667</v>
      </c>
      <c r="L66" s="6"/>
      <c r="M66" s="6" t="s">
        <v>668</v>
      </c>
      <c r="N66" s="6"/>
      <c r="O66" s="6" t="s">
        <v>662</v>
      </c>
      <c r="P66" s="6"/>
      <c r="Q66" s="6"/>
      <c r="R66" s="6" t="s">
        <v>669</v>
      </c>
      <c r="S66" s="6">
        <v>50.230250599999998</v>
      </c>
      <c r="T66" s="6">
        <v>12.867056399999999</v>
      </c>
      <c r="U66" s="6"/>
      <c r="V66" s="6"/>
      <c r="W66" s="6"/>
      <c r="X66" s="6"/>
      <c r="Y66" s="6"/>
      <c r="Z66" s="6" t="s">
        <v>47</v>
      </c>
      <c r="AA66" s="6"/>
      <c r="AB66" s="6"/>
      <c r="AD66" s="6"/>
      <c r="AE66" s="17" t="s">
        <v>47</v>
      </c>
      <c r="AF66" t="str">
        <f t="shared" si="0"/>
        <v>ANO</v>
      </c>
    </row>
    <row r="67" spans="1:32">
      <c r="A67" s="6">
        <v>58</v>
      </c>
      <c r="B67" s="6" t="s">
        <v>670</v>
      </c>
      <c r="C67" s="6" t="s">
        <v>671</v>
      </c>
      <c r="D67" s="6" t="s">
        <v>672</v>
      </c>
      <c r="E67" s="12" t="s">
        <v>673</v>
      </c>
      <c r="F67" s="6" t="s">
        <v>91</v>
      </c>
      <c r="G67" s="11">
        <v>1570</v>
      </c>
      <c r="H67" s="6">
        <v>50000</v>
      </c>
      <c r="I67" s="13" t="str">
        <f>HYPERLINK("http://www.pivovarklaster.cz","http://www.pivovarklaster.cz")</f>
        <v>http://www.pivovarklaster.cz</v>
      </c>
      <c r="J67" s="13" t="str">
        <f>HYPERLINK("https://www.facebook.com/klasterpivovar","https://www.facebook.com/klasterpivovar")</f>
        <v>https://www.facebook.com/klasterpivovar</v>
      </c>
      <c r="K67" s="6" t="s">
        <v>675</v>
      </c>
      <c r="L67" s="6" t="s">
        <v>308</v>
      </c>
      <c r="M67" s="6" t="s">
        <v>309</v>
      </c>
      <c r="N67" s="6"/>
      <c r="O67" s="6" t="s">
        <v>670</v>
      </c>
      <c r="P67" s="6"/>
      <c r="Q67" s="6"/>
      <c r="R67" s="6" t="s">
        <v>676</v>
      </c>
      <c r="S67" s="6">
        <v>50.524661000000002</v>
      </c>
      <c r="T67" s="6">
        <v>14.947692</v>
      </c>
      <c r="U67" s="6"/>
      <c r="V67" s="6"/>
      <c r="W67" s="6"/>
      <c r="X67" s="6"/>
      <c r="Y67" s="6"/>
      <c r="Z67" s="6"/>
      <c r="AA67" s="6"/>
      <c r="AB67" s="6"/>
      <c r="AD67" s="6"/>
      <c r="AE67" s="16"/>
      <c r="AF67" t="str">
        <f t="shared" si="0"/>
        <v/>
      </c>
    </row>
    <row r="68" spans="1:32">
      <c r="A68" s="6">
        <v>59</v>
      </c>
      <c r="B68" s="6" t="s">
        <v>677</v>
      </c>
      <c r="C68" s="6" t="s">
        <v>678</v>
      </c>
      <c r="D68" s="6" t="s">
        <v>679</v>
      </c>
      <c r="E68" s="12" t="s">
        <v>680</v>
      </c>
      <c r="F68" s="6" t="s">
        <v>57</v>
      </c>
      <c r="G68" s="11">
        <v>2007</v>
      </c>
      <c r="H68" s="6"/>
      <c r="I68" s="15" t="s">
        <v>681</v>
      </c>
      <c r="J68" s="15" t="s">
        <v>682</v>
      </c>
      <c r="K68" s="6" t="s">
        <v>683</v>
      </c>
      <c r="L68" s="6"/>
      <c r="M68" s="6" t="s">
        <v>684</v>
      </c>
      <c r="N68" s="6"/>
      <c r="O68" s="6" t="s">
        <v>685</v>
      </c>
      <c r="P68" s="6" t="s">
        <v>686</v>
      </c>
      <c r="Q68" s="6" t="s">
        <v>687</v>
      </c>
      <c r="R68" s="6" t="s">
        <v>688</v>
      </c>
      <c r="S68" s="6">
        <v>48.973143999999898</v>
      </c>
      <c r="T68" s="6">
        <v>17.288684</v>
      </c>
      <c r="U68" s="6"/>
      <c r="V68" s="6"/>
      <c r="W68" s="6"/>
      <c r="X68" s="6"/>
      <c r="Y68" s="6"/>
      <c r="Z68" s="6"/>
      <c r="AA68" s="6"/>
      <c r="AB68" s="6"/>
      <c r="AD68" s="6" t="s">
        <v>47</v>
      </c>
      <c r="AE68" s="17" t="s">
        <v>47</v>
      </c>
      <c r="AF68" t="str">
        <f t="shared" si="0"/>
        <v>ANO</v>
      </c>
    </row>
    <row r="69" spans="1:32">
      <c r="A69" s="6">
        <v>60</v>
      </c>
      <c r="B69" s="6" t="s">
        <v>689</v>
      </c>
      <c r="C69" s="6" t="s">
        <v>690</v>
      </c>
      <c r="D69" s="6" t="s">
        <v>691</v>
      </c>
      <c r="E69" s="12" t="s">
        <v>692</v>
      </c>
      <c r="F69" s="6" t="s">
        <v>73</v>
      </c>
      <c r="G69" s="11">
        <v>2012</v>
      </c>
      <c r="H69" s="6"/>
      <c r="I69" s="15" t="s">
        <v>693</v>
      </c>
      <c r="J69" s="13" t="str">
        <f>HYPERLINK("https://www.facebook.com/minipivovarknezinek","https://www.facebook.com/minipivovarknezinek")</f>
        <v>https://www.facebook.com/minipivovarknezinek</v>
      </c>
      <c r="K69" s="6" t="s">
        <v>694</v>
      </c>
      <c r="L69" s="6"/>
      <c r="M69" s="6" t="s">
        <v>695</v>
      </c>
      <c r="N69" s="6"/>
      <c r="O69" s="6" t="s">
        <v>696</v>
      </c>
      <c r="P69" s="6"/>
      <c r="Q69" s="6"/>
      <c r="R69" s="6" t="s">
        <v>697</v>
      </c>
      <c r="S69" s="6">
        <v>49.002974399999999</v>
      </c>
      <c r="T69" s="6">
        <v>14.4032103</v>
      </c>
      <c r="U69" s="6"/>
      <c r="V69" s="6"/>
      <c r="W69" s="6"/>
      <c r="X69" s="6"/>
      <c r="Y69" s="6"/>
      <c r="Z69" s="6" t="s">
        <v>47</v>
      </c>
      <c r="AA69" s="6"/>
      <c r="AB69" s="6"/>
      <c r="AD69" s="6"/>
      <c r="AE69" s="16"/>
      <c r="AF69" t="str">
        <f t="shared" si="0"/>
        <v>ANO</v>
      </c>
    </row>
    <row r="70" spans="1:32">
      <c r="A70" s="6">
        <v>61</v>
      </c>
      <c r="B70" s="6" t="s">
        <v>698</v>
      </c>
      <c r="C70" s="6" t="s">
        <v>699</v>
      </c>
      <c r="D70" s="6" t="s">
        <v>700</v>
      </c>
      <c r="E70" s="12" t="s">
        <v>701</v>
      </c>
      <c r="F70" s="6" t="s">
        <v>73</v>
      </c>
      <c r="G70" s="11">
        <v>2008</v>
      </c>
      <c r="H70" s="6">
        <v>2000</v>
      </c>
      <c r="I70" s="13" t="str">
        <f>HYPERLINK("http://www.pivovar-kocour.cz","http://www.pivovar-kocour.cz")</f>
        <v>http://www.pivovar-kocour.cz</v>
      </c>
      <c r="J70" s="13" t="str">
        <f>HYPERLINK("https://www.facebook.com/pivovar.kocour.varnsdorf","https://www.facebook.com/pivovar.kocour.varnsdorf")</f>
        <v>https://www.facebook.com/pivovar.kocour.varnsdorf</v>
      </c>
      <c r="K70" s="6" t="s">
        <v>703</v>
      </c>
      <c r="L70" s="6"/>
      <c r="M70" s="6" t="s">
        <v>704</v>
      </c>
      <c r="N70" s="6"/>
      <c r="O70" s="6" t="s">
        <v>705</v>
      </c>
      <c r="P70" s="6" t="s">
        <v>706</v>
      </c>
      <c r="Q70" s="6" t="s">
        <v>707</v>
      </c>
      <c r="R70" s="6" t="s">
        <v>708</v>
      </c>
      <c r="S70" s="6">
        <v>50.919902999999898</v>
      </c>
      <c r="T70" s="6">
        <v>14.603623000000001</v>
      </c>
      <c r="U70" s="6"/>
      <c r="V70" s="6"/>
      <c r="W70" s="6"/>
      <c r="X70" s="6"/>
      <c r="Y70" s="6" t="s">
        <v>47</v>
      </c>
      <c r="Z70" s="6"/>
      <c r="AA70" s="6"/>
      <c r="AB70" s="6"/>
      <c r="AD70" s="6"/>
      <c r="AE70" s="17" t="s">
        <v>47</v>
      </c>
      <c r="AF70" t="str">
        <f t="shared" si="0"/>
        <v>ANO</v>
      </c>
    </row>
    <row r="71" spans="1:32">
      <c r="A71" s="6">
        <v>62</v>
      </c>
      <c r="B71" s="6" t="s">
        <v>709</v>
      </c>
      <c r="C71" s="6" t="s">
        <v>710</v>
      </c>
      <c r="D71" s="6" t="s">
        <v>711</v>
      </c>
      <c r="E71" s="12" t="s">
        <v>712</v>
      </c>
      <c r="F71" s="6" t="s">
        <v>73</v>
      </c>
      <c r="G71" s="11">
        <v>2010</v>
      </c>
      <c r="H71" s="6"/>
      <c r="I71" s="13" t="str">
        <f>HYPERLINK("http://www.udvoukocek.cz","http://www.udvoukocek.cz")</f>
        <v>http://www.udvoukocek.cz</v>
      </c>
      <c r="J71" s="31" t="s">
        <v>713</v>
      </c>
      <c r="K71" s="6" t="s">
        <v>714</v>
      </c>
      <c r="L71" s="6"/>
      <c r="M71" s="6"/>
      <c r="N71" s="6"/>
      <c r="O71" s="6" t="s">
        <v>715</v>
      </c>
      <c r="P71" s="6" t="s">
        <v>709</v>
      </c>
      <c r="Q71" s="6"/>
      <c r="R71" s="6" t="s">
        <v>716</v>
      </c>
      <c r="S71" s="6">
        <v>50.083511999999899</v>
      </c>
      <c r="T71" s="6">
        <v>14.420486</v>
      </c>
      <c r="U71" s="6"/>
      <c r="V71" s="6"/>
      <c r="W71" s="6"/>
      <c r="X71" s="6"/>
      <c r="Y71" s="6"/>
      <c r="Z71" s="6"/>
      <c r="AA71" s="6"/>
      <c r="AB71" s="6"/>
      <c r="AD71" s="6"/>
      <c r="AE71" s="16"/>
      <c r="AF71" t="str">
        <f t="shared" si="0"/>
        <v/>
      </c>
    </row>
    <row r="72" spans="1:32">
      <c r="A72" s="6">
        <v>63</v>
      </c>
      <c r="B72" s="6" t="s">
        <v>717</v>
      </c>
      <c r="C72" s="6" t="s">
        <v>718</v>
      </c>
      <c r="D72" s="6" t="s">
        <v>719</v>
      </c>
      <c r="E72" s="12" t="s">
        <v>720</v>
      </c>
      <c r="F72" s="6" t="s">
        <v>57</v>
      </c>
      <c r="G72" s="11">
        <v>2010</v>
      </c>
      <c r="H72" s="6"/>
      <c r="I72" s="6"/>
      <c r="J72" s="6"/>
      <c r="K72" s="6" t="s">
        <v>721</v>
      </c>
      <c r="L72" s="6"/>
      <c r="M72" s="6" t="s">
        <v>722</v>
      </c>
      <c r="N72" s="6"/>
      <c r="O72" s="6" t="s">
        <v>723</v>
      </c>
      <c r="P72" s="6" t="s">
        <v>724</v>
      </c>
      <c r="Q72" s="6"/>
      <c r="R72" s="6" t="s">
        <v>725</v>
      </c>
      <c r="S72" s="6">
        <v>50.174821999999899</v>
      </c>
      <c r="T72" s="6">
        <v>15.8477859999999</v>
      </c>
      <c r="U72" s="6"/>
      <c r="V72" s="6"/>
      <c r="W72" s="6"/>
      <c r="X72" s="6" t="s">
        <v>47</v>
      </c>
      <c r="Y72" s="6"/>
      <c r="Z72" s="6"/>
      <c r="AA72" s="6"/>
      <c r="AB72" s="6"/>
      <c r="AD72" s="6"/>
      <c r="AE72" s="16"/>
      <c r="AF72" t="str">
        <f t="shared" si="0"/>
        <v>ANO</v>
      </c>
    </row>
    <row r="73" spans="1:32">
      <c r="A73" s="6">
        <v>64</v>
      </c>
      <c r="B73" s="6" t="s">
        <v>726</v>
      </c>
      <c r="C73" s="6" t="s">
        <v>727</v>
      </c>
      <c r="D73" s="6" t="s">
        <v>728</v>
      </c>
      <c r="E73" s="12" t="s">
        <v>729</v>
      </c>
      <c r="F73" s="6" t="s">
        <v>73</v>
      </c>
      <c r="G73" s="11">
        <v>2013</v>
      </c>
      <c r="H73" s="6"/>
      <c r="I73" s="15" t="s">
        <v>730</v>
      </c>
      <c r="J73" s="15" t="s">
        <v>731</v>
      </c>
      <c r="K73" s="6" t="s">
        <v>732</v>
      </c>
      <c r="L73" s="6"/>
      <c r="M73" s="6"/>
      <c r="N73" s="6"/>
      <c r="O73" s="6" t="s">
        <v>733</v>
      </c>
      <c r="P73" s="6" t="s">
        <v>734</v>
      </c>
      <c r="Q73" s="15" t="s">
        <v>735</v>
      </c>
      <c r="R73" s="6" t="s">
        <v>736</v>
      </c>
      <c r="S73" s="6">
        <v>49.642988000000003</v>
      </c>
      <c r="T73" s="6">
        <v>18.480539</v>
      </c>
      <c r="U73" s="6"/>
      <c r="V73" s="6"/>
      <c r="W73" s="6"/>
      <c r="X73" s="6"/>
      <c r="Y73" s="6" t="s">
        <v>47</v>
      </c>
      <c r="Z73" s="6"/>
      <c r="AA73" s="6" t="s">
        <v>47</v>
      </c>
      <c r="AB73" s="6"/>
      <c r="AD73" s="6"/>
      <c r="AE73" s="17" t="s">
        <v>47</v>
      </c>
      <c r="AF73" t="str">
        <f t="shared" si="0"/>
        <v>ANO</v>
      </c>
    </row>
    <row r="74" spans="1:32" ht="8.25" customHeight="1">
      <c r="A74" s="6">
        <v>65</v>
      </c>
      <c r="B74" s="6" t="s">
        <v>737</v>
      </c>
      <c r="C74" s="6" t="s">
        <v>738</v>
      </c>
      <c r="D74" s="6" t="s">
        <v>739</v>
      </c>
      <c r="E74" s="12" t="s">
        <v>740</v>
      </c>
      <c r="F74" s="6" t="s">
        <v>73</v>
      </c>
      <c r="G74" s="11">
        <v>2006</v>
      </c>
      <c r="H74" s="6">
        <v>700</v>
      </c>
      <c r="I74" s="13" t="str">
        <f>HYPERLINK("http://www.pivovarkonicek.cz","http://www.pivovarkonicek.cz")</f>
        <v>http://www.pivovarkonicek.cz</v>
      </c>
      <c r="J74" s="13" t="str">
        <f>HYPERLINK("https://www.facebook.com/pivovarkonicek","https://www.facebook.com/pivovarkonicek")</f>
        <v>https://www.facebook.com/pivovarkonicek</v>
      </c>
      <c r="K74" s="6" t="s">
        <v>741</v>
      </c>
      <c r="L74" s="6"/>
      <c r="M74" s="6" t="s">
        <v>742</v>
      </c>
      <c r="N74" s="6"/>
      <c r="O74" s="6" t="s">
        <v>743</v>
      </c>
      <c r="P74" s="6"/>
      <c r="Q74" s="15" t="s">
        <v>744</v>
      </c>
      <c r="R74" s="6" t="s">
        <v>745</v>
      </c>
      <c r="S74" s="6">
        <v>49.674827000000001</v>
      </c>
      <c r="T74" s="6">
        <v>18.476709</v>
      </c>
      <c r="U74" s="6"/>
      <c r="V74" s="6"/>
      <c r="W74" s="6"/>
      <c r="X74" s="6"/>
      <c r="Y74" s="6"/>
      <c r="Z74" s="6"/>
      <c r="AA74" s="6" t="s">
        <v>47</v>
      </c>
      <c r="AB74" s="6"/>
      <c r="AD74" s="6"/>
      <c r="AE74" s="17" t="s">
        <v>47</v>
      </c>
      <c r="AF74" t="str">
        <f t="shared" si="0"/>
        <v>ANO</v>
      </c>
    </row>
    <row r="75" spans="1:32">
      <c r="A75" s="6">
        <v>66</v>
      </c>
      <c r="B75" s="6" t="s">
        <v>746</v>
      </c>
      <c r="C75" s="6" t="s">
        <v>747</v>
      </c>
      <c r="D75" s="6" t="s">
        <v>748</v>
      </c>
      <c r="E75" s="12" t="s">
        <v>749</v>
      </c>
      <c r="F75" s="6" t="s">
        <v>91</v>
      </c>
      <c r="G75" s="11">
        <v>2000</v>
      </c>
      <c r="H75" s="6"/>
      <c r="I75" s="13" t="str">
        <f>HYPERLINK("http://www.pivo-konrad.cz","http://www.pivo-konrad.cz")</f>
        <v>http://www.pivo-konrad.cz</v>
      </c>
      <c r="J75" s="13" t="str">
        <f>HYPERLINK("https://www.facebook.com/PivoKonradVratislavice","https://www.facebook.com/PivoKonradVratislavice")</f>
        <v>https://www.facebook.com/PivoKonradVratislavice</v>
      </c>
      <c r="K75" s="6" t="s">
        <v>750</v>
      </c>
      <c r="L75" s="6"/>
      <c r="M75" s="6" t="s">
        <v>751</v>
      </c>
      <c r="N75" s="6"/>
      <c r="O75" s="6" t="s">
        <v>752</v>
      </c>
      <c r="P75" s="6"/>
      <c r="Q75" s="6"/>
      <c r="R75" s="6" t="s">
        <v>753</v>
      </c>
      <c r="S75" s="6">
        <v>50.751944399999999</v>
      </c>
      <c r="T75" s="6">
        <v>15.0882764</v>
      </c>
      <c r="U75" s="6"/>
      <c r="V75" s="6"/>
      <c r="W75" s="6"/>
      <c r="X75" s="6"/>
      <c r="Y75" s="6"/>
      <c r="Z75" s="6"/>
      <c r="AA75" s="6"/>
      <c r="AB75" s="6"/>
      <c r="AD75" s="6"/>
      <c r="AE75" s="16"/>
      <c r="AF75" t="str">
        <f t="shared" si="0"/>
        <v/>
      </c>
    </row>
    <row r="76" spans="1:32">
      <c r="A76" s="6">
        <v>67</v>
      </c>
      <c r="B76" s="6" t="s">
        <v>755</v>
      </c>
      <c r="C76" s="6" t="s">
        <v>756</v>
      </c>
      <c r="D76" s="6" t="s">
        <v>757</v>
      </c>
      <c r="E76" s="12" t="s">
        <v>758</v>
      </c>
      <c r="F76" s="6" t="s">
        <v>57</v>
      </c>
      <c r="G76" s="11">
        <v>2012</v>
      </c>
      <c r="H76" s="6">
        <v>700</v>
      </c>
      <c r="I76" s="13" t="str">
        <f>HYPERLINK("http://www.kounickypivovar.cz","http://www.kounickypivovar.cz")</f>
        <v>http://www.kounickypivovar.cz</v>
      </c>
      <c r="J76" s="13" t="str">
        <f>HYPERLINK("https://www.facebook.com/kounickypivovar","https://www.facebook.com/kounickypivovar")</f>
        <v>https://www.facebook.com/kounickypivovar</v>
      </c>
      <c r="K76" s="6" t="s">
        <v>759</v>
      </c>
      <c r="L76" s="6"/>
      <c r="M76" s="6" t="s">
        <v>760</v>
      </c>
      <c r="N76" s="6"/>
      <c r="O76" s="6" t="s">
        <v>761</v>
      </c>
      <c r="P76" s="6" t="s">
        <v>762</v>
      </c>
      <c r="Q76" s="15" t="s">
        <v>763</v>
      </c>
      <c r="R76" s="6" t="s">
        <v>764</v>
      </c>
      <c r="S76" s="6">
        <v>50.108260999999899</v>
      </c>
      <c r="T76" s="6">
        <v>14.8540379999999</v>
      </c>
      <c r="U76" s="6"/>
      <c r="V76" s="6"/>
      <c r="W76" s="6"/>
      <c r="X76" s="6"/>
      <c r="Y76" s="6"/>
      <c r="Z76" s="6"/>
      <c r="AA76" s="6"/>
      <c r="AB76" s="6" t="s">
        <v>47</v>
      </c>
      <c r="AD76" s="6"/>
      <c r="AE76" s="16"/>
      <c r="AF76" t="str">
        <f t="shared" si="0"/>
        <v>ANO</v>
      </c>
    </row>
    <row r="77" spans="1:32">
      <c r="A77" s="6">
        <v>68</v>
      </c>
      <c r="B77" s="6" t="s">
        <v>765</v>
      </c>
      <c r="C77" s="6" t="s">
        <v>766</v>
      </c>
      <c r="D77" s="6" t="s">
        <v>767</v>
      </c>
      <c r="E77" s="12" t="s">
        <v>768</v>
      </c>
      <c r="F77" s="6" t="s">
        <v>73</v>
      </c>
      <c r="G77" s="11">
        <v>2011</v>
      </c>
      <c r="H77" s="6"/>
      <c r="I77" s="13" t="str">
        <f>HYPERLINK("http://www.kolibahotel.cz","http://www.kolibahotel.cz")</f>
        <v>http://www.kolibahotel.cz</v>
      </c>
      <c r="J77" s="13" t="str">
        <f>HYPERLINK("https://www.facebook.com/Hotel-Koliba-Litom%C4%9B%C5%99ice-174148985937809","https://www.facebook.com/Hotel-Koliba-Litom%C4%9B%C5%99ice-174148985937809")</f>
        <v>https://www.facebook.com/Hotel-Koliba-Litom%C4%9B%C5%99ice-174148985937809</v>
      </c>
      <c r="K77" s="6" t="s">
        <v>769</v>
      </c>
      <c r="L77" s="6"/>
      <c r="M77" s="6"/>
      <c r="N77" s="6"/>
      <c r="O77" s="6" t="s">
        <v>770</v>
      </c>
      <c r="P77" s="6" t="s">
        <v>765</v>
      </c>
      <c r="Q77" s="6"/>
      <c r="R77" s="6" t="s">
        <v>771</v>
      </c>
      <c r="S77" s="6">
        <v>50.5365889999999</v>
      </c>
      <c r="T77" s="6">
        <v>14.153222</v>
      </c>
      <c r="U77" s="6"/>
      <c r="V77" s="6"/>
      <c r="W77" s="6"/>
      <c r="X77" s="6" t="s">
        <v>47</v>
      </c>
      <c r="Y77" s="6"/>
      <c r="Z77" s="6"/>
      <c r="AA77" s="6"/>
      <c r="AB77" s="6"/>
      <c r="AD77" s="6"/>
      <c r="AE77" s="17" t="s">
        <v>47</v>
      </c>
      <c r="AF77" t="str">
        <f t="shared" si="0"/>
        <v>ANO</v>
      </c>
    </row>
    <row r="78" spans="1:32">
      <c r="A78" s="6">
        <v>69</v>
      </c>
      <c r="B78" s="6" t="s">
        <v>772</v>
      </c>
      <c r="C78" s="6" t="s">
        <v>773</v>
      </c>
      <c r="D78" s="6" t="s">
        <v>774</v>
      </c>
      <c r="E78" s="12" t="s">
        <v>775</v>
      </c>
      <c r="F78" s="6" t="s">
        <v>57</v>
      </c>
      <c r="G78" s="11">
        <v>2006</v>
      </c>
      <c r="H78" s="6">
        <v>8000</v>
      </c>
      <c r="I78" s="13" t="str">
        <f>HYPERLINK("http://www.pivovarkout.cz","http://www.pivovarkout.cz")</f>
        <v>http://www.pivovarkout.cz</v>
      </c>
      <c r="J78" s="13" t="str">
        <f>HYPERLINK("https://www.facebook.com/Pivovar-Kout-na-Šumavě-306435406052527","https://www.facebook.com/Pivovar-Kout-na-Šumavě-306435406052527")</f>
        <v>https://www.facebook.com/Pivovar-Kout-na-Šumavě-306435406052527</v>
      </c>
      <c r="K78" s="6" t="s">
        <v>776</v>
      </c>
      <c r="L78" s="6"/>
      <c r="M78" s="6"/>
      <c r="N78" s="6"/>
      <c r="O78" s="6" t="s">
        <v>777</v>
      </c>
      <c r="P78" s="6"/>
      <c r="Q78" s="6"/>
      <c r="R78" s="6" t="s">
        <v>778</v>
      </c>
      <c r="S78" s="6">
        <v>49.401440000000001</v>
      </c>
      <c r="T78" s="6">
        <v>12.999617000000001</v>
      </c>
      <c r="U78" s="6"/>
      <c r="V78" s="6"/>
      <c r="W78" s="6"/>
      <c r="X78" s="6"/>
      <c r="Y78" s="6"/>
      <c r="Z78" s="6"/>
      <c r="AA78" s="6"/>
      <c r="AB78" s="6"/>
      <c r="AD78" s="6"/>
      <c r="AE78" s="16"/>
      <c r="AF78" t="str">
        <f t="shared" si="0"/>
        <v/>
      </c>
    </row>
    <row r="79" spans="1:32">
      <c r="A79" s="6">
        <v>70</v>
      </c>
      <c r="B79" s="6" t="s">
        <v>779</v>
      </c>
      <c r="C79" s="6" t="s">
        <v>780</v>
      </c>
      <c r="D79" s="6" t="s">
        <v>781</v>
      </c>
      <c r="E79" s="12" t="s">
        <v>782</v>
      </c>
      <c r="F79" s="6" t="s">
        <v>57</v>
      </c>
      <c r="G79" s="11">
        <v>2006</v>
      </c>
      <c r="H79" s="6">
        <v>240</v>
      </c>
      <c r="I79" s="13" t="str">
        <f>HYPERLINK("http://www.pivovar-kozlicek.cz","http://www.pivovar-kozlicek.cz")</f>
        <v>http://www.pivovar-kozlicek.cz</v>
      </c>
      <c r="J79" s="13" t="str">
        <f>HYPERLINK("https://www.facebook.com/pivovarkozlicek","https://www.facebook.com/pivovarkozlicek")</f>
        <v>https://www.facebook.com/pivovarkozlicek</v>
      </c>
      <c r="K79" s="6" t="s">
        <v>784</v>
      </c>
      <c r="L79" s="6"/>
      <c r="M79" s="6" t="s">
        <v>785</v>
      </c>
      <c r="N79" s="6"/>
      <c r="O79" s="6" t="s">
        <v>786</v>
      </c>
      <c r="P79" s="6"/>
      <c r="Q79" s="6"/>
      <c r="R79" s="6" t="s">
        <v>787</v>
      </c>
      <c r="S79" s="6">
        <v>49.256573600000003</v>
      </c>
      <c r="T79" s="6">
        <v>15.310935000000001</v>
      </c>
      <c r="U79" s="6"/>
      <c r="V79" s="6"/>
      <c r="W79" s="6"/>
      <c r="X79" s="6"/>
      <c r="Y79" s="6"/>
      <c r="Z79" s="6"/>
      <c r="AA79" s="6"/>
      <c r="AB79" s="6"/>
      <c r="AD79" s="6"/>
      <c r="AE79" s="16"/>
      <c r="AF79" t="str">
        <f t="shared" si="0"/>
        <v/>
      </c>
    </row>
    <row r="80" spans="1:32">
      <c r="A80" s="6">
        <v>71</v>
      </c>
      <c r="B80" s="6" t="s">
        <v>788</v>
      </c>
      <c r="C80" s="6" t="s">
        <v>789</v>
      </c>
      <c r="D80" s="6" t="s">
        <v>790</v>
      </c>
      <c r="E80" s="12" t="s">
        <v>791</v>
      </c>
      <c r="F80" s="6" t="s">
        <v>73</v>
      </c>
      <c r="G80" s="11">
        <v>2008</v>
      </c>
      <c r="H80" s="6"/>
      <c r="I80" s="15" t="s">
        <v>792</v>
      </c>
      <c r="J80" s="15" t="s">
        <v>793</v>
      </c>
      <c r="K80" s="6" t="s">
        <v>794</v>
      </c>
      <c r="L80" s="6" t="s">
        <v>795</v>
      </c>
      <c r="M80" s="6" t="s">
        <v>796</v>
      </c>
      <c r="N80" s="6"/>
      <c r="O80" s="6" t="s">
        <v>797</v>
      </c>
      <c r="P80" s="6" t="s">
        <v>798</v>
      </c>
      <c r="Q80" s="15" t="s">
        <v>799</v>
      </c>
      <c r="R80" s="6" t="s">
        <v>800</v>
      </c>
      <c r="S80" s="6">
        <v>49.5925814</v>
      </c>
      <c r="T80" s="6">
        <v>18.2561678</v>
      </c>
      <c r="U80" s="6"/>
      <c r="V80" s="6"/>
      <c r="W80" s="6"/>
      <c r="X80" s="6" t="s">
        <v>47</v>
      </c>
      <c r="Y80" s="6" t="s">
        <v>47</v>
      </c>
      <c r="Z80" s="6"/>
      <c r="AA80" s="6"/>
      <c r="AB80" s="6"/>
      <c r="AD80" s="6"/>
      <c r="AE80" s="17" t="s">
        <v>47</v>
      </c>
      <c r="AF80" t="str">
        <f t="shared" si="0"/>
        <v>ANO</v>
      </c>
    </row>
    <row r="81" spans="1:37">
      <c r="A81" s="6">
        <v>72</v>
      </c>
      <c r="B81" s="6" t="s">
        <v>801</v>
      </c>
      <c r="C81" s="6" t="s">
        <v>802</v>
      </c>
      <c r="D81" s="6" t="s">
        <v>586</v>
      </c>
      <c r="E81" s="12" t="s">
        <v>803</v>
      </c>
      <c r="F81" s="6" t="s">
        <v>91</v>
      </c>
      <c r="G81" s="11">
        <v>1582</v>
      </c>
      <c r="H81" s="6">
        <v>112000</v>
      </c>
      <c r="I81" s="13" t="str">
        <f>HYPERLINK("http://www.pivovar-krakonos.cz","http://www.pivovar-krakonos.cz")</f>
        <v>http://www.pivovar-krakonos.cz</v>
      </c>
      <c r="J81" s="13" t="str">
        <f>HYPERLINK("https://www.facebook.com/pivovarKrakonos","https://www.facebook.com/pivovarKrakonos")</f>
        <v>https://www.facebook.com/pivovarKrakonos</v>
      </c>
      <c r="K81" s="6" t="s">
        <v>804</v>
      </c>
      <c r="L81" s="6"/>
      <c r="M81" s="6" t="s">
        <v>805</v>
      </c>
      <c r="N81" s="6"/>
      <c r="O81" s="6" t="s">
        <v>801</v>
      </c>
      <c r="P81" s="6"/>
      <c r="Q81" s="6"/>
      <c r="R81" s="6" t="s">
        <v>806</v>
      </c>
      <c r="S81" s="6">
        <v>50.561431399999996</v>
      </c>
      <c r="T81" s="6">
        <v>15.9093661</v>
      </c>
      <c r="U81" s="6"/>
      <c r="V81" s="6"/>
      <c r="W81" s="6"/>
      <c r="X81" s="6"/>
      <c r="Y81" s="6"/>
      <c r="Z81" s="6"/>
      <c r="AA81" s="6"/>
      <c r="AB81" s="6"/>
      <c r="AD81" s="6"/>
      <c r="AE81" s="17" t="s">
        <v>47</v>
      </c>
      <c r="AF81" t="str">
        <f t="shared" si="0"/>
        <v>ANO</v>
      </c>
    </row>
    <row r="82" spans="1:37">
      <c r="A82" s="6">
        <v>73</v>
      </c>
      <c r="B82" s="6" t="s">
        <v>807</v>
      </c>
      <c r="C82" s="6" t="s">
        <v>808</v>
      </c>
      <c r="D82" s="6" t="s">
        <v>481</v>
      </c>
      <c r="E82" s="12" t="s">
        <v>809</v>
      </c>
      <c r="F82" s="6" t="s">
        <v>73</v>
      </c>
      <c r="G82" s="11">
        <v>1995</v>
      </c>
      <c r="H82" s="6">
        <v>840</v>
      </c>
      <c r="I82" s="13" t="str">
        <f>HYPERLINK("http://pivovarskabasta.cz","http://pivovarskabasta.cz")</f>
        <v>http://pivovarskabasta.cz</v>
      </c>
      <c r="J82" s="13" t="str">
        <f>HYPERLINK("https://www.facebook.com/pivovarskabasta.cz","https://www.facebook.com/pivovarskabasta.cz")</f>
        <v>https://www.facebook.com/pivovarskabasta.cz</v>
      </c>
      <c r="K82" s="6" t="s">
        <v>812</v>
      </c>
      <c r="L82" s="6"/>
      <c r="M82" s="6"/>
      <c r="N82" s="6"/>
      <c r="O82" s="6" t="s">
        <v>813</v>
      </c>
      <c r="P82" s="6"/>
      <c r="Q82" s="6"/>
      <c r="R82" s="6" t="s">
        <v>814</v>
      </c>
      <c r="S82" s="6">
        <v>50.642966000000001</v>
      </c>
      <c r="T82" s="6">
        <v>15.608525</v>
      </c>
      <c r="U82" s="6"/>
      <c r="V82" s="6"/>
      <c r="W82" s="6"/>
      <c r="X82" s="6"/>
      <c r="Y82" s="6"/>
      <c r="Z82" s="6"/>
      <c r="AA82" s="6"/>
      <c r="AB82" s="6"/>
      <c r="AD82" s="6"/>
      <c r="AE82" s="16"/>
      <c r="AF82" t="str">
        <f t="shared" si="0"/>
        <v/>
      </c>
    </row>
    <row r="83" spans="1:37">
      <c r="A83" s="6">
        <v>74</v>
      </c>
      <c r="B83" s="6" t="s">
        <v>815</v>
      </c>
      <c r="C83" s="6" t="s">
        <v>816</v>
      </c>
      <c r="D83" s="6" t="s">
        <v>815</v>
      </c>
      <c r="E83" s="12" t="s">
        <v>817</v>
      </c>
      <c r="F83" s="6" t="s">
        <v>73</v>
      </c>
      <c r="G83" s="11">
        <v>2011</v>
      </c>
      <c r="H83" s="6"/>
      <c r="I83" s="15" t="s">
        <v>818</v>
      </c>
      <c r="J83" s="13" t="str">
        <f>HYPERLINK("https://www.facebook.com/minipivovarkrmelin","https://www.facebook.com/minipivovarkrmelin")</f>
        <v>https://www.facebook.com/minipivovarkrmelin</v>
      </c>
      <c r="K83" s="6" t="s">
        <v>821</v>
      </c>
      <c r="L83" s="6"/>
      <c r="M83" s="6" t="s">
        <v>822</v>
      </c>
      <c r="N83" s="6"/>
      <c r="O83" s="6" t="s">
        <v>823</v>
      </c>
      <c r="P83" s="6" t="s">
        <v>824</v>
      </c>
      <c r="Q83" s="15" t="s">
        <v>825</v>
      </c>
      <c r="R83" s="6" t="s">
        <v>826</v>
      </c>
      <c r="S83" s="6">
        <v>49.729303100000003</v>
      </c>
      <c r="T83" s="6">
        <v>18.2361261</v>
      </c>
      <c r="U83" s="6"/>
      <c r="V83" s="6"/>
      <c r="W83" s="6"/>
      <c r="X83" s="6" t="s">
        <v>47</v>
      </c>
      <c r="Y83" s="6"/>
      <c r="Z83" s="6"/>
      <c r="AA83" s="6"/>
      <c r="AB83" s="6" t="s">
        <v>47</v>
      </c>
      <c r="AD83" s="6" t="s">
        <v>47</v>
      </c>
      <c r="AE83" s="17" t="s">
        <v>47</v>
      </c>
      <c r="AF83" t="str">
        <f t="shared" si="0"/>
        <v>ANO</v>
      </c>
    </row>
    <row r="84" spans="1:37">
      <c r="A84" s="6">
        <v>75</v>
      </c>
      <c r="B84" s="6" t="s">
        <v>827</v>
      </c>
      <c r="C84" s="6" t="s">
        <v>828</v>
      </c>
      <c r="D84" s="6" t="s">
        <v>827</v>
      </c>
      <c r="E84" s="12" t="s">
        <v>829</v>
      </c>
      <c r="F84" s="6" t="s">
        <v>91</v>
      </c>
      <c r="G84" s="11">
        <v>1581</v>
      </c>
      <c r="H84" s="6">
        <v>690000</v>
      </c>
      <c r="I84" s="13" t="str">
        <f>HYPERLINK("http://www.krusovice.cz","http://www.krusovice.cz")</f>
        <v>http://www.krusovice.cz</v>
      </c>
      <c r="J84" s="13" t="str">
        <f>HYPERLINK("https://www.facebook.com/PivoKrusovice","https://www.facebook.com/PivoKrusovice")</f>
        <v>https://www.facebook.com/PivoKrusovice</v>
      </c>
      <c r="K84" s="6" t="s">
        <v>830</v>
      </c>
      <c r="L84" s="6" t="s">
        <v>291</v>
      </c>
      <c r="M84" s="6" t="s">
        <v>292</v>
      </c>
      <c r="N84" s="6"/>
      <c r="O84" s="6" t="s">
        <v>831</v>
      </c>
      <c r="P84" s="6"/>
      <c r="Q84" s="6"/>
      <c r="R84" s="6" t="s">
        <v>832</v>
      </c>
      <c r="S84" s="6">
        <v>50.173657200000001</v>
      </c>
      <c r="T84" s="6">
        <v>13.772616899999999</v>
      </c>
      <c r="U84" s="6"/>
      <c r="V84" s="6"/>
      <c r="W84" s="6"/>
      <c r="X84" s="6"/>
      <c r="Y84" s="6"/>
      <c r="Z84" s="6"/>
      <c r="AA84" s="6"/>
      <c r="AB84" s="6"/>
      <c r="AD84" s="6"/>
      <c r="AE84" s="16"/>
      <c r="AF84" t="str">
        <f t="shared" si="0"/>
        <v/>
      </c>
    </row>
    <row r="85" spans="1:37">
      <c r="A85" s="6">
        <v>76</v>
      </c>
      <c r="B85" s="6" t="s">
        <v>833</v>
      </c>
      <c r="C85" s="6" t="s">
        <v>834</v>
      </c>
      <c r="D85" s="6" t="s">
        <v>835</v>
      </c>
      <c r="E85" s="12" t="s">
        <v>836</v>
      </c>
      <c r="F85" s="6" t="s">
        <v>57</v>
      </c>
      <c r="G85" s="11">
        <v>1992</v>
      </c>
      <c r="H85" s="6">
        <v>1130</v>
      </c>
      <c r="I85" s="13" t="str">
        <f>HYPERLINK("http://pivokvasar.cz","http://pivokvasar.cz")</f>
        <v>http://pivokvasar.cz</v>
      </c>
      <c r="J85" s="13" t="str">
        <f>HYPERLINK("https://www.facebook.com/pivokvasar","https://www.facebook.com/pivokvasar")</f>
        <v>https://www.facebook.com/pivokvasar</v>
      </c>
      <c r="K85" s="6" t="s">
        <v>837</v>
      </c>
      <c r="L85" s="6"/>
      <c r="M85" s="6" t="s">
        <v>838</v>
      </c>
      <c r="N85" s="12" t="s">
        <v>839</v>
      </c>
      <c r="O85" s="6" t="s">
        <v>840</v>
      </c>
      <c r="P85" s="6"/>
      <c r="Q85" s="15" t="s">
        <v>841</v>
      </c>
      <c r="R85" s="12" t="s">
        <v>842</v>
      </c>
      <c r="S85" s="12">
        <v>49.312820299999998</v>
      </c>
      <c r="T85" s="12">
        <v>16.4540936</v>
      </c>
      <c r="U85" s="6"/>
      <c r="V85" s="6"/>
      <c r="W85" s="6"/>
      <c r="X85" s="6"/>
      <c r="Y85" s="6"/>
      <c r="Z85" s="6"/>
      <c r="AA85" s="6"/>
      <c r="AB85" s="6"/>
      <c r="AC85" s="9" t="s">
        <v>47</v>
      </c>
      <c r="AD85" s="6"/>
      <c r="AE85" s="16"/>
      <c r="AF85" t="str">
        <f t="shared" si="0"/>
        <v>ANO</v>
      </c>
    </row>
    <row r="86" spans="1:37">
      <c r="A86" s="6">
        <v>77</v>
      </c>
      <c r="B86" s="6" t="s">
        <v>844</v>
      </c>
      <c r="C86" s="6" t="s">
        <v>845</v>
      </c>
      <c r="D86" s="6" t="s">
        <v>846</v>
      </c>
      <c r="E86" s="12" t="s">
        <v>847</v>
      </c>
      <c r="F86" s="12" t="s">
        <v>848</v>
      </c>
      <c r="G86" s="18">
        <v>2009.2018</v>
      </c>
      <c r="H86" s="6">
        <v>250</v>
      </c>
      <c r="I86" s="13" t="str">
        <f>HYPERLINK("http://www.kvasslav.cz","http://www.kvasslav.cz")</f>
        <v>http://www.kvasslav.cz</v>
      </c>
      <c r="J86" s="13" t="str">
        <f>HYPERLINK("https://www.facebook.com/kvasslavcz-149748885132665","https://www.facebook.com/kvasslavcz-149748885132665")</f>
        <v>https://www.facebook.com/kvasslavcz-149748885132665</v>
      </c>
      <c r="K86" s="6" t="s">
        <v>849</v>
      </c>
      <c r="L86" s="6"/>
      <c r="M86" s="6"/>
      <c r="N86" s="34"/>
      <c r="O86" s="6" t="s">
        <v>850</v>
      </c>
      <c r="P86" s="6" t="s">
        <v>851</v>
      </c>
      <c r="Q86" s="15" t="s">
        <v>852</v>
      </c>
      <c r="R86" s="6" t="s">
        <v>853</v>
      </c>
      <c r="S86" s="6">
        <v>50.0677179999999</v>
      </c>
      <c r="T86" s="6">
        <v>17.092534000000001</v>
      </c>
      <c r="U86" s="6"/>
      <c r="V86" s="6"/>
      <c r="W86" s="6"/>
      <c r="X86" s="6"/>
      <c r="Y86" s="6"/>
      <c r="Z86" s="6"/>
      <c r="AA86" s="6"/>
      <c r="AB86" s="6"/>
      <c r="AC86" s="9" t="s">
        <v>47</v>
      </c>
      <c r="AD86" s="6" t="s">
        <v>47</v>
      </c>
      <c r="AE86" s="17" t="s">
        <v>47</v>
      </c>
      <c r="AF86" t="str">
        <f t="shared" si="0"/>
        <v>ANO</v>
      </c>
    </row>
    <row r="87" spans="1:37">
      <c r="A87" s="6">
        <v>78</v>
      </c>
      <c r="B87" s="6" t="s">
        <v>854</v>
      </c>
      <c r="C87" s="6" t="s">
        <v>855</v>
      </c>
      <c r="D87" s="6" t="s">
        <v>854</v>
      </c>
      <c r="E87" s="12" t="s">
        <v>856</v>
      </c>
      <c r="F87" s="6" t="s">
        <v>73</v>
      </c>
      <c r="G87" s="11">
        <v>2011</v>
      </c>
      <c r="H87" s="6"/>
      <c r="I87" s="13" t="str">
        <f>HYPERLINK("http://www.pekarnakvilda.cz","http://www.pekarnakvilda.cz")</f>
        <v>http://www.pekarnakvilda.cz</v>
      </c>
      <c r="J87" s="13" t="str">
        <f>HYPERLINK("https://www.facebook.com/PekarnaAPivovarKvilda","https://www.facebook.com/PekarnaAPivovarKvilda")</f>
        <v>https://www.facebook.com/PekarnaAPivovarKvilda</v>
      </c>
      <c r="K87" s="6" t="s">
        <v>857</v>
      </c>
      <c r="L87" s="6"/>
      <c r="M87" s="6" t="s">
        <v>858</v>
      </c>
      <c r="N87" s="6"/>
      <c r="O87" s="6" t="s">
        <v>859</v>
      </c>
      <c r="P87" s="6" t="s">
        <v>860</v>
      </c>
      <c r="Q87" s="6"/>
      <c r="R87" s="6" t="s">
        <v>861</v>
      </c>
      <c r="S87" s="6">
        <v>49.020587499999998</v>
      </c>
      <c r="T87" s="6">
        <v>13.5794406</v>
      </c>
      <c r="U87" s="6"/>
      <c r="V87" s="6"/>
      <c r="W87" s="6"/>
      <c r="X87" s="6"/>
      <c r="Y87" s="6"/>
      <c r="Z87" s="6"/>
      <c r="AA87" s="6"/>
      <c r="AB87" s="6"/>
      <c r="AD87" s="6"/>
      <c r="AE87" s="16"/>
      <c r="AF87" t="str">
        <f t="shared" si="0"/>
        <v/>
      </c>
    </row>
    <row r="88" spans="1:37">
      <c r="A88" s="6">
        <v>79</v>
      </c>
      <c r="B88" s="6" t="s">
        <v>862</v>
      </c>
      <c r="C88" s="6" t="s">
        <v>863</v>
      </c>
      <c r="D88" s="6" t="s">
        <v>864</v>
      </c>
      <c r="E88" s="12" t="s">
        <v>865</v>
      </c>
      <c r="F88" s="6" t="s">
        <v>73</v>
      </c>
      <c r="G88" s="11">
        <v>2013</v>
      </c>
      <c r="H88" s="6"/>
      <c r="I88" s="13" t="str">
        <f>HYPERLINK("http://www.pivovar-kynsperk.cz","http://www.pivovar-kynsperk.cz")</f>
        <v>http://www.pivovar-kynsperk.cz</v>
      </c>
      <c r="J88" s="13" t="str">
        <f>HYPERLINK("https://www.facebook.com/PivovarKynsperk","https://www.facebook.com/PivovarKynsperk")</f>
        <v>https://www.facebook.com/PivovarKynsperk</v>
      </c>
      <c r="K88" s="6" t="s">
        <v>866</v>
      </c>
      <c r="L88" s="6"/>
      <c r="M88" s="6" t="s">
        <v>867</v>
      </c>
      <c r="N88" s="6"/>
      <c r="O88" s="6" t="s">
        <v>868</v>
      </c>
      <c r="P88" s="6"/>
      <c r="Q88" s="6" t="s">
        <v>869</v>
      </c>
      <c r="R88" s="6" t="s">
        <v>870</v>
      </c>
      <c r="S88" s="6">
        <v>50.124051999999899</v>
      </c>
      <c r="T88" s="6">
        <v>12.5314599999999</v>
      </c>
      <c r="U88" s="6"/>
      <c r="V88" s="6"/>
      <c r="W88" s="6"/>
      <c r="X88" s="6" t="s">
        <v>47</v>
      </c>
      <c r="Y88" s="6"/>
      <c r="Z88" s="6"/>
      <c r="AA88" s="6"/>
      <c r="AB88" s="6"/>
      <c r="AD88" s="6"/>
      <c r="AE88" s="16"/>
      <c r="AF88" t="str">
        <f t="shared" si="0"/>
        <v>ANO</v>
      </c>
    </row>
    <row r="89" spans="1:37">
      <c r="A89" s="6">
        <v>80</v>
      </c>
      <c r="B89" s="6" t="s">
        <v>871</v>
      </c>
      <c r="C89" s="6" t="s">
        <v>872</v>
      </c>
      <c r="D89" s="6" t="s">
        <v>767</v>
      </c>
      <c r="E89" s="12" t="s">
        <v>873</v>
      </c>
      <c r="F89" s="6" t="s">
        <v>73</v>
      </c>
      <c r="G89" s="11">
        <v>2010</v>
      </c>
      <c r="H89" s="6">
        <v>600</v>
      </c>
      <c r="I89" s="13" t="str">
        <f>HYPERLINK("http://www.minipivovarlabut.cz","http://www.minipivovarlabut.cz")</f>
        <v>http://www.minipivovarlabut.cz</v>
      </c>
      <c r="J89" s="13" t="str">
        <f>HYPERLINK("https://www.facebook.com/minipivovarlabut","https://www.facebook.com/minipivovarlabut")</f>
        <v>https://www.facebook.com/minipivovarlabut</v>
      </c>
      <c r="K89" s="6" t="s">
        <v>874</v>
      </c>
      <c r="L89" s="6"/>
      <c r="M89" s="6" t="s">
        <v>875</v>
      </c>
      <c r="N89" s="6"/>
      <c r="O89" s="6" t="s">
        <v>876</v>
      </c>
      <c r="P89" s="6" t="s">
        <v>877</v>
      </c>
      <c r="Q89" s="15" t="s">
        <v>878</v>
      </c>
      <c r="R89" s="6" t="s">
        <v>879</v>
      </c>
      <c r="S89" s="6">
        <v>50.535072999999898</v>
      </c>
      <c r="T89" s="6">
        <v>14.134981</v>
      </c>
      <c r="U89" s="6"/>
      <c r="V89" s="6"/>
      <c r="W89" s="6"/>
      <c r="X89" s="6" t="s">
        <v>47</v>
      </c>
      <c r="Y89" s="6"/>
      <c r="Z89" s="6"/>
      <c r="AA89" s="6"/>
      <c r="AB89" s="6" t="s">
        <v>47</v>
      </c>
      <c r="AD89" s="6" t="s">
        <v>47</v>
      </c>
      <c r="AE89" s="17" t="s">
        <v>47</v>
      </c>
      <c r="AF89" t="str">
        <f t="shared" si="0"/>
        <v>ANO</v>
      </c>
    </row>
    <row r="90" spans="1:37">
      <c r="A90" s="6">
        <v>81</v>
      </c>
      <c r="B90" s="6" t="s">
        <v>880</v>
      </c>
      <c r="C90" s="6" t="s">
        <v>881</v>
      </c>
      <c r="D90" s="6" t="s">
        <v>883</v>
      </c>
      <c r="E90" s="12" t="s">
        <v>885</v>
      </c>
      <c r="F90" s="6" t="s">
        <v>73</v>
      </c>
      <c r="G90" s="11">
        <v>1998</v>
      </c>
      <c r="H90" s="6">
        <v>800</v>
      </c>
      <c r="I90" s="13" t="str">
        <f>HYPERLINK("http://www.pivovar-lipan.cz","http://www.pivovar-lipan.cz")</f>
        <v>http://www.pivovar-lipan.cz</v>
      </c>
      <c r="J90" s="13" t="str">
        <f>HYPERLINK("https://www.facebook.com/pivovarlipan","https://www.facebook.com/pivovarlipan")</f>
        <v>https://www.facebook.com/pivovarlipan</v>
      </c>
      <c r="K90" s="6" t="s">
        <v>886</v>
      </c>
      <c r="L90" s="6"/>
      <c r="M90" s="6" t="s">
        <v>887</v>
      </c>
      <c r="N90" s="6"/>
      <c r="O90" s="6" t="s">
        <v>888</v>
      </c>
      <c r="P90" s="6" t="s">
        <v>881</v>
      </c>
      <c r="Q90" s="6"/>
      <c r="R90" s="6" t="s">
        <v>889</v>
      </c>
      <c r="S90" s="6">
        <v>49.305672999999899</v>
      </c>
      <c r="T90" s="6">
        <v>14.380751</v>
      </c>
      <c r="U90" s="6"/>
      <c r="V90" s="6"/>
      <c r="W90" s="6"/>
      <c r="X90" s="6"/>
      <c r="Y90" s="6"/>
      <c r="Z90" s="6"/>
      <c r="AA90" s="6"/>
      <c r="AB90" s="6"/>
      <c r="AD90" s="6"/>
      <c r="AE90" s="16"/>
      <c r="AF90" t="str">
        <f t="shared" si="0"/>
        <v/>
      </c>
    </row>
    <row r="91" spans="1:37">
      <c r="A91" s="6">
        <v>82</v>
      </c>
      <c r="B91" s="6" t="s">
        <v>890</v>
      </c>
      <c r="C91" s="6" t="s">
        <v>891</v>
      </c>
      <c r="D91" s="6" t="s">
        <v>892</v>
      </c>
      <c r="E91" s="12" t="s">
        <v>893</v>
      </c>
      <c r="F91" s="6" t="s">
        <v>73</v>
      </c>
      <c r="G91" s="11">
        <v>2011</v>
      </c>
      <c r="H91" s="6"/>
      <c r="I91" s="13" t="str">
        <f>HYPERLINK("http://www.lisenskypivovar.cz","http://www.lisenskypivovar.cz")</f>
        <v>http://www.lisenskypivovar.cz</v>
      </c>
      <c r="J91" s="13" t="str">
        <f>HYPERLINK("https://www.facebook.com/lisenskypivovar","https://www.facebook.com/lisenskypivovar")</f>
        <v>https://www.facebook.com/lisenskypivovar</v>
      </c>
      <c r="K91" s="6" t="s">
        <v>895</v>
      </c>
      <c r="L91" s="6"/>
      <c r="M91" s="6" t="s">
        <v>896</v>
      </c>
      <c r="N91" s="6"/>
      <c r="O91" s="6" t="s">
        <v>897</v>
      </c>
      <c r="P91" s="6"/>
      <c r="Q91" s="6"/>
      <c r="R91" s="6" t="s">
        <v>898</v>
      </c>
      <c r="S91" s="6">
        <v>49.210807199999998</v>
      </c>
      <c r="T91" s="6">
        <v>16.680625299999999</v>
      </c>
      <c r="U91" s="6"/>
      <c r="V91" s="6"/>
      <c r="W91" s="6"/>
      <c r="X91" s="6"/>
      <c r="Y91" s="6"/>
      <c r="Z91" s="6" t="s">
        <v>47</v>
      </c>
      <c r="AA91" s="6"/>
      <c r="AB91" s="6"/>
      <c r="AD91" s="6"/>
      <c r="AE91" s="17" t="s">
        <v>47</v>
      </c>
      <c r="AF91" t="str">
        <f t="shared" si="0"/>
        <v>ANO</v>
      </c>
    </row>
    <row r="92" spans="1:37">
      <c r="A92" s="6">
        <v>83</v>
      </c>
      <c r="B92" s="6" t="s">
        <v>899</v>
      </c>
      <c r="C92" s="6" t="s">
        <v>900</v>
      </c>
      <c r="D92" s="6" t="s">
        <v>899</v>
      </c>
      <c r="E92" s="12" t="s">
        <v>901</v>
      </c>
      <c r="F92" s="6" t="s">
        <v>91</v>
      </c>
      <c r="G92" s="11">
        <v>1893</v>
      </c>
      <c r="H92" s="6">
        <v>162000</v>
      </c>
      <c r="I92" s="13" t="str">
        <f>HYPERLINK("http://www.litovel.cz","http://www.litovel.cz")</f>
        <v>http://www.litovel.cz</v>
      </c>
      <c r="J92" s="13" t="str">
        <f>HYPERLINK("https://www.facebook.com/pivovarlitovel","https://www.facebook.com/pivovarlitovel")</f>
        <v>https://www.facebook.com/pivovarlitovel</v>
      </c>
      <c r="K92" s="6" t="s">
        <v>902</v>
      </c>
      <c r="L92" s="6" t="s">
        <v>502</v>
      </c>
      <c r="M92" s="6" t="s">
        <v>903</v>
      </c>
      <c r="N92" s="6"/>
      <c r="O92" s="6" t="s">
        <v>904</v>
      </c>
      <c r="P92" s="6"/>
      <c r="Q92" s="6"/>
      <c r="R92" s="6" t="s">
        <v>905</v>
      </c>
      <c r="S92" s="6">
        <v>49.6946429999999</v>
      </c>
      <c r="T92" s="6">
        <v>17.0764689999999</v>
      </c>
      <c r="U92" s="6"/>
      <c r="V92" s="6"/>
      <c r="W92" s="6"/>
      <c r="X92" s="6" t="s">
        <v>47</v>
      </c>
      <c r="Y92" s="6"/>
      <c r="Z92" s="6"/>
      <c r="AA92" s="6"/>
      <c r="AB92" s="6"/>
      <c r="AD92" s="6"/>
      <c r="AE92" s="16"/>
      <c r="AF92" t="str">
        <f t="shared" si="0"/>
        <v>ANO</v>
      </c>
    </row>
    <row r="93" spans="1:37">
      <c r="A93" s="6">
        <v>84</v>
      </c>
      <c r="B93" s="6" t="s">
        <v>906</v>
      </c>
      <c r="C93" s="6" t="s">
        <v>907</v>
      </c>
      <c r="D93" s="6" t="s">
        <v>906</v>
      </c>
      <c r="E93" s="12" t="s">
        <v>908</v>
      </c>
      <c r="F93" s="6" t="s">
        <v>91</v>
      </c>
      <c r="G93" s="11">
        <v>1466</v>
      </c>
      <c r="H93" s="6">
        <v>67000</v>
      </c>
      <c r="I93" s="15" t="s">
        <v>909</v>
      </c>
      <c r="J93" s="13" t="str">
        <f>HYPERLINK("https://www.facebook.com/vysokychlumecpivovar","https://www.facebook.com/vysokychlumecpivovar")</f>
        <v>https://www.facebook.com/vysokychlumecpivovar</v>
      </c>
      <c r="K93" s="6" t="s">
        <v>910</v>
      </c>
      <c r="L93" s="6" t="s">
        <v>308</v>
      </c>
      <c r="M93" s="6" t="s">
        <v>309</v>
      </c>
      <c r="N93" s="6"/>
      <c r="O93" s="6" t="s">
        <v>911</v>
      </c>
      <c r="P93" s="6"/>
      <c r="Q93" s="6"/>
      <c r="R93" s="6" t="s">
        <v>912</v>
      </c>
      <c r="S93" s="6">
        <v>49.614412000000002</v>
      </c>
      <c r="T93" s="6">
        <v>14.391791</v>
      </c>
      <c r="U93" s="6"/>
      <c r="V93" s="6"/>
      <c r="W93" s="6"/>
      <c r="X93" s="6"/>
      <c r="Y93" s="6"/>
      <c r="Z93" s="6"/>
      <c r="AA93" s="6"/>
      <c r="AB93" s="6"/>
      <c r="AD93" s="6"/>
      <c r="AE93" s="16"/>
      <c r="AF93" t="str">
        <f t="shared" si="0"/>
        <v/>
      </c>
    </row>
    <row r="94" spans="1:37">
      <c r="A94" s="6">
        <v>85</v>
      </c>
      <c r="B94" s="6" t="s">
        <v>913</v>
      </c>
      <c r="C94" s="6" t="s">
        <v>914</v>
      </c>
      <c r="D94" s="6" t="s">
        <v>915</v>
      </c>
      <c r="E94" s="12" t="s">
        <v>916</v>
      </c>
      <c r="F94" s="6" t="s">
        <v>73</v>
      </c>
      <c r="G94" s="11">
        <v>2010</v>
      </c>
      <c r="H94" s="6">
        <v>270</v>
      </c>
      <c r="I94" s="13" t="str">
        <f>HYPERLINK("http://www.podkycmolem.cz","http://www.podkycmolem.cz")</f>
        <v>http://www.podkycmolem.cz</v>
      </c>
      <c r="J94" s="13" t="str">
        <f>HYPERLINK("https://www.facebook.com/hotelpodkycmolem","https://www.facebook.com/hotelpodkycmolem")</f>
        <v>https://www.facebook.com/hotelpodkycmolem</v>
      </c>
      <c r="K94" s="6" t="s">
        <v>917</v>
      </c>
      <c r="L94" s="6"/>
      <c r="M94" s="6" t="s">
        <v>918</v>
      </c>
      <c r="N94" s="6"/>
      <c r="O94" s="6" t="s">
        <v>919</v>
      </c>
      <c r="P94" s="6" t="s">
        <v>920</v>
      </c>
      <c r="Q94" s="6"/>
      <c r="R94" s="6" t="s">
        <v>921</v>
      </c>
      <c r="S94" s="6">
        <v>49.514845999999899</v>
      </c>
      <c r="T94" s="6">
        <v>18.627115</v>
      </c>
      <c r="U94" s="6"/>
      <c r="V94" s="6"/>
      <c r="W94" s="6"/>
      <c r="X94" s="6"/>
      <c r="Y94" s="6" t="s">
        <v>47</v>
      </c>
      <c r="Z94" s="6"/>
      <c r="AA94" s="6"/>
      <c r="AB94" s="6"/>
      <c r="AD94" s="6"/>
      <c r="AE94" s="17" t="s">
        <v>47</v>
      </c>
      <c r="AF94" t="str">
        <f t="shared" si="0"/>
        <v>ANO</v>
      </c>
    </row>
    <row r="95" spans="1:37">
      <c r="A95" s="6">
        <v>86</v>
      </c>
      <c r="B95" s="6" t="s">
        <v>922</v>
      </c>
      <c r="C95" s="6" t="s">
        <v>923</v>
      </c>
      <c r="D95" s="6" t="s">
        <v>924</v>
      </c>
      <c r="E95" s="12" t="s">
        <v>925</v>
      </c>
      <c r="F95" s="6" t="s">
        <v>73</v>
      </c>
      <c r="G95" s="11">
        <v>2011</v>
      </c>
      <c r="H95" s="6">
        <v>600</v>
      </c>
      <c r="I95" s="13" t="str">
        <f>HYPERLINK("http://www.pivovarmagistr.cz","http://www.pivovarmagistr.cz")</f>
        <v>http://www.pivovarmagistr.cz</v>
      </c>
      <c r="J95" s="13" t="str">
        <f>HYPERLINK("https://www.facebook.com/pivovarmagistr","https://www.facebook.com/pivovarmagistr")</f>
        <v>https://www.facebook.com/pivovarmagistr</v>
      </c>
      <c r="K95" s="6" t="s">
        <v>926</v>
      </c>
      <c r="L95" s="6"/>
      <c r="M95" s="6" t="s">
        <v>928</v>
      </c>
      <c r="N95" s="6"/>
      <c r="O95" s="6" t="s">
        <v>929</v>
      </c>
      <c r="P95" s="6" t="s">
        <v>930</v>
      </c>
      <c r="Q95" s="6"/>
      <c r="R95" s="6" t="s">
        <v>931</v>
      </c>
      <c r="S95" s="6">
        <v>49.209595</v>
      </c>
      <c r="T95" s="6">
        <v>16.600048099999999</v>
      </c>
      <c r="U95" s="6"/>
      <c r="V95" s="6"/>
      <c r="W95" s="6"/>
      <c r="X95" s="6"/>
      <c r="Y95" s="6"/>
      <c r="Z95" s="6" t="s">
        <v>47</v>
      </c>
      <c r="AA95" s="6"/>
      <c r="AB95" s="6"/>
      <c r="AD95" s="6" t="s">
        <v>47</v>
      </c>
      <c r="AE95" s="17" t="s">
        <v>47</v>
      </c>
      <c r="AF95" t="str">
        <f t="shared" si="0"/>
        <v>ANO</v>
      </c>
    </row>
    <row r="96" spans="1:37">
      <c r="A96" s="19">
        <v>87</v>
      </c>
      <c r="B96" s="20" t="s">
        <v>932</v>
      </c>
      <c r="C96" s="20" t="s">
        <v>933</v>
      </c>
      <c r="D96" s="16" t="s">
        <v>260</v>
      </c>
      <c r="E96" s="23" t="s">
        <v>934</v>
      </c>
      <c r="F96" s="20" t="s">
        <v>113</v>
      </c>
      <c r="G96" s="35" t="s">
        <v>935</v>
      </c>
      <c r="H96" s="20"/>
      <c r="I96" s="20"/>
      <c r="J96" s="20"/>
      <c r="K96" s="26" t="s">
        <v>936</v>
      </c>
      <c r="L96" s="20" t="s">
        <v>795</v>
      </c>
      <c r="M96" s="16" t="s">
        <v>796</v>
      </c>
      <c r="N96" s="20"/>
      <c r="O96" s="16" t="s">
        <v>937</v>
      </c>
      <c r="P96" s="16" t="s">
        <v>938</v>
      </c>
      <c r="Q96" s="20"/>
      <c r="R96" s="20" t="s">
        <v>939</v>
      </c>
      <c r="S96" s="19">
        <v>49.584732000000002</v>
      </c>
      <c r="T96" s="19">
        <v>18.3505989999999</v>
      </c>
      <c r="U96" s="20"/>
      <c r="V96" s="20"/>
      <c r="W96" s="20"/>
      <c r="X96" s="20" t="s">
        <v>47</v>
      </c>
      <c r="Y96" s="20"/>
      <c r="Z96" s="20"/>
      <c r="AA96" s="20"/>
      <c r="AB96" s="20"/>
      <c r="AC96" s="20"/>
      <c r="AD96" s="20"/>
      <c r="AE96" s="20"/>
      <c r="AF96" t="str">
        <f t="shared" si="0"/>
        <v>ANO</v>
      </c>
      <c r="AG96" s="20"/>
      <c r="AH96" s="20"/>
      <c r="AI96" s="20"/>
      <c r="AJ96" s="20"/>
      <c r="AK96" s="20"/>
    </row>
    <row r="97" spans="1:37">
      <c r="A97" s="6">
        <v>87</v>
      </c>
      <c r="B97" s="6" t="s">
        <v>940</v>
      </c>
      <c r="C97" s="6" t="s">
        <v>941</v>
      </c>
      <c r="D97" s="6" t="s">
        <v>942</v>
      </c>
      <c r="E97" s="12" t="s">
        <v>943</v>
      </c>
      <c r="F97" s="6" t="s">
        <v>73</v>
      </c>
      <c r="G97" s="11">
        <v>2010</v>
      </c>
      <c r="H97" s="6">
        <v>460</v>
      </c>
      <c r="I97" s="36" t="str">
        <f>HYPERLINK("http://www.stirinskastodola.cz","http://www.stirinskastodola.cz")</f>
        <v>http://www.stirinskastodola.cz</v>
      </c>
      <c r="J97" s="36" t="str">
        <f>HYPERLINK("https://www.facebook.com/stirinskastodola","https://www.facebook.com/stirinskastodola")</f>
        <v>https://www.facebook.com/stirinskastodola</v>
      </c>
      <c r="K97" s="32" t="s">
        <v>944</v>
      </c>
      <c r="L97" s="6"/>
      <c r="M97" s="32" t="s">
        <v>945</v>
      </c>
      <c r="N97" s="6"/>
      <c r="O97" s="32" t="s">
        <v>940</v>
      </c>
      <c r="P97" s="32" t="s">
        <v>946</v>
      </c>
      <c r="Q97" s="6"/>
      <c r="R97" s="6" t="s">
        <v>947</v>
      </c>
      <c r="S97" s="6">
        <v>49.916952000000002</v>
      </c>
      <c r="T97" s="6">
        <v>14.595554</v>
      </c>
      <c r="U97" s="6"/>
      <c r="V97" s="6"/>
      <c r="W97" s="6"/>
      <c r="X97" s="6"/>
      <c r="Y97" s="6" t="s">
        <v>47</v>
      </c>
      <c r="Z97" s="6"/>
      <c r="AA97" s="6"/>
      <c r="AB97" s="6"/>
      <c r="AD97" s="6"/>
      <c r="AE97" s="17" t="s">
        <v>47</v>
      </c>
      <c r="AF97" t="str">
        <f t="shared" si="0"/>
        <v>ANO</v>
      </c>
    </row>
    <row r="98" spans="1:37">
      <c r="A98" s="6">
        <v>88</v>
      </c>
      <c r="B98" s="6" t="s">
        <v>948</v>
      </c>
      <c r="C98" s="6" t="s">
        <v>949</v>
      </c>
      <c r="D98" s="6" t="s">
        <v>950</v>
      </c>
      <c r="E98" s="12" t="s">
        <v>951</v>
      </c>
      <c r="F98" s="6" t="s">
        <v>57</v>
      </c>
      <c r="G98" s="11">
        <v>2011</v>
      </c>
      <c r="H98" s="6"/>
      <c r="I98" s="13" t="str">
        <f>HYPERLINK("http://www.pivovarmamut.cz","http://www.pivovarmamut.cz")</f>
        <v>http://www.pivovarmamut.cz</v>
      </c>
      <c r="J98" s="13" t="str">
        <f>HYPERLINK("https://www.facebook.com/pivovar.mamut","https://www.facebook.com/pivovar.mamut")</f>
        <v>https://www.facebook.com/pivovar.mamut</v>
      </c>
      <c r="K98" s="6" t="s">
        <v>955</v>
      </c>
      <c r="L98" s="6"/>
      <c r="M98" s="6"/>
      <c r="N98" s="6"/>
      <c r="O98" s="6" t="s">
        <v>956</v>
      </c>
      <c r="P98" s="6" t="s">
        <v>957</v>
      </c>
      <c r="Q98" s="6"/>
      <c r="R98" s="6" t="s">
        <v>958</v>
      </c>
      <c r="S98" s="6">
        <v>48.809359999999998</v>
      </c>
      <c r="T98" s="6">
        <v>16.642976999999998</v>
      </c>
      <c r="U98" s="6"/>
      <c r="V98" s="6"/>
      <c r="W98" s="6"/>
      <c r="X98" s="6"/>
      <c r="Y98" s="6" t="s">
        <v>47</v>
      </c>
      <c r="Z98" s="6"/>
      <c r="AA98" s="6"/>
      <c r="AB98" s="6"/>
      <c r="AD98" s="6"/>
      <c r="AE98" s="17" t="s">
        <v>47</v>
      </c>
      <c r="AF98" t="str">
        <f t="shared" si="0"/>
        <v>ANO</v>
      </c>
    </row>
    <row r="99" spans="1:37">
      <c r="A99" s="6">
        <v>89</v>
      </c>
      <c r="B99" s="6" t="s">
        <v>959</v>
      </c>
      <c r="C99" s="6" t="s">
        <v>960</v>
      </c>
      <c r="D99" s="6" t="s">
        <v>961</v>
      </c>
      <c r="E99" s="12" t="s">
        <v>962</v>
      </c>
      <c r="F99" s="6" t="s">
        <v>73</v>
      </c>
      <c r="G99" s="11">
        <v>2013</v>
      </c>
      <c r="H99" s="6"/>
      <c r="I99" s="13" t="str">
        <f>HYPERLINK("http://www.pivovarmarina.cz","http://www.pivovarmarina.cz")</f>
        <v>http://www.pivovarmarina.cz</v>
      </c>
      <c r="J99" s="13" t="str">
        <f>HYPERLINK("https://www.facebook.com/pivovarmarinacz","https://www.facebook.com/pivovarmarinacz")</f>
        <v>https://www.facebook.com/pivovarmarinacz</v>
      </c>
      <c r="K99" s="6" t="s">
        <v>963</v>
      </c>
      <c r="L99" s="6"/>
      <c r="M99" s="6" t="s">
        <v>964</v>
      </c>
      <c r="N99" s="6"/>
      <c r="O99" s="6" t="s">
        <v>965</v>
      </c>
      <c r="P99" s="6" t="s">
        <v>966</v>
      </c>
      <c r="Q99" s="6"/>
      <c r="R99" s="6" t="s">
        <v>967</v>
      </c>
      <c r="S99" s="6">
        <v>50.106208600000002</v>
      </c>
      <c r="T99" s="6">
        <v>14.456501100000001</v>
      </c>
      <c r="U99" s="6"/>
      <c r="V99" s="6"/>
      <c r="W99" s="6"/>
      <c r="X99" s="6"/>
      <c r="Y99" s="6"/>
      <c r="Z99" s="6"/>
      <c r="AA99" s="6"/>
      <c r="AB99" s="6"/>
      <c r="AD99" s="6"/>
      <c r="AE99" s="17" t="s">
        <v>47</v>
      </c>
      <c r="AF99" t="str">
        <f t="shared" si="0"/>
        <v>ANO</v>
      </c>
    </row>
    <row r="100" spans="1:37">
      <c r="A100" s="6">
        <v>90</v>
      </c>
      <c r="B100" s="6" t="s">
        <v>968</v>
      </c>
      <c r="C100" s="6" t="s">
        <v>969</v>
      </c>
      <c r="D100" s="32" t="s">
        <v>970</v>
      </c>
      <c r="E100" s="12" t="s">
        <v>971</v>
      </c>
      <c r="F100" s="6" t="s">
        <v>57</v>
      </c>
      <c r="G100" s="11">
        <v>2009</v>
      </c>
      <c r="H100" s="6">
        <v>1300</v>
      </c>
      <c r="I100" s="13" t="str">
        <f>HYPERLINK("http://www.pivovarmatuska.cz","http://www.pivovarmatuska.cz")</f>
        <v>http://www.pivovarmatuska.cz</v>
      </c>
      <c r="J100" s="13" t="str">
        <f>HYPERLINK("https://www.facebook.com/pivovarmatuska","https://www.facebook.com/pivovarmatuska")</f>
        <v>https://www.facebook.com/pivovarmatuska</v>
      </c>
      <c r="K100" s="32" t="s">
        <v>972</v>
      </c>
      <c r="L100" s="6"/>
      <c r="M100" s="32" t="s">
        <v>973</v>
      </c>
      <c r="N100" s="6"/>
      <c r="O100" s="32" t="s">
        <v>974</v>
      </c>
      <c r="P100" s="32"/>
      <c r="Q100" s="6"/>
      <c r="R100" s="6" t="s">
        <v>975</v>
      </c>
      <c r="S100" s="6">
        <v>49.955020599999997</v>
      </c>
      <c r="T100" s="6">
        <v>13.8515747</v>
      </c>
      <c r="U100" s="6"/>
      <c r="V100" s="6"/>
      <c r="W100" s="6" t="s">
        <v>47</v>
      </c>
      <c r="X100" s="6"/>
      <c r="Y100" s="6"/>
      <c r="Z100" s="6"/>
      <c r="AA100" s="6"/>
      <c r="AB100" s="6"/>
      <c r="AD100" s="6"/>
      <c r="AE100" s="16"/>
      <c r="AF100" t="str">
        <f t="shared" si="0"/>
        <v>ANO</v>
      </c>
    </row>
    <row r="101" spans="1:37">
      <c r="A101" s="6">
        <v>91</v>
      </c>
      <c r="B101" s="6" t="s">
        <v>316</v>
      </c>
      <c r="C101" s="6" t="s">
        <v>978</v>
      </c>
      <c r="D101" s="6" t="s">
        <v>316</v>
      </c>
      <c r="E101" s="12" t="s">
        <v>979</v>
      </c>
      <c r="F101" s="6" t="s">
        <v>57</v>
      </c>
      <c r="G101" s="11">
        <v>2012</v>
      </c>
      <c r="H101" s="6">
        <v>3000</v>
      </c>
      <c r="I101" s="13" t="str">
        <f>HYPERLINK("http://www.pivomaxmilian.cz","http://www.pivomaxmilian.cz")</f>
        <v>http://www.pivomaxmilian.cz</v>
      </c>
      <c r="J101" s="13" t="str">
        <f>HYPERLINK("https://www.facebook.com/pivomaxmilian","https://www.facebook.com/pivomaxmilian")</f>
        <v>https://www.facebook.com/pivomaxmilian</v>
      </c>
      <c r="K101" s="6" t="s">
        <v>980</v>
      </c>
      <c r="L101" s="6"/>
      <c r="M101" s="6" t="s">
        <v>981</v>
      </c>
      <c r="N101" s="6"/>
      <c r="O101" s="6" t="s">
        <v>982</v>
      </c>
      <c r="P101" s="6" t="s">
        <v>983</v>
      </c>
      <c r="Q101" s="6"/>
      <c r="R101" s="6" t="s">
        <v>984</v>
      </c>
      <c r="S101" s="6">
        <v>49.309380599999997</v>
      </c>
      <c r="T101" s="6">
        <v>17.397629200000001</v>
      </c>
      <c r="U101" s="6"/>
      <c r="V101" s="6"/>
      <c r="W101" s="6"/>
      <c r="X101" s="6"/>
      <c r="Y101" s="6"/>
      <c r="Z101" s="6"/>
      <c r="AA101" s="6"/>
      <c r="AB101" s="6"/>
      <c r="AD101" s="6"/>
      <c r="AE101" s="17" t="s">
        <v>47</v>
      </c>
      <c r="AF101" t="str">
        <f t="shared" si="0"/>
        <v>ANO</v>
      </c>
    </row>
    <row r="102" spans="1:37">
      <c r="A102" s="6">
        <v>92</v>
      </c>
      <c r="B102" s="6" t="s">
        <v>985</v>
      </c>
      <c r="C102" s="6" t="s">
        <v>987</v>
      </c>
      <c r="D102" s="6" t="s">
        <v>988</v>
      </c>
      <c r="E102" s="12" t="s">
        <v>989</v>
      </c>
      <c r="F102" s="6" t="s">
        <v>57</v>
      </c>
      <c r="G102" s="11">
        <v>2011</v>
      </c>
      <c r="H102" s="6">
        <v>800</v>
      </c>
      <c r="I102" s="13" t="str">
        <f>HYPERLINK("http://www.pivovarmazak.cz","http://www.pivovarmazak.cz")</f>
        <v>http://www.pivovarmazak.cz</v>
      </c>
      <c r="J102" s="13" t="str">
        <f>HYPERLINK("https://www.facebook.com/pivovarmazak","https://www.facebook.com/pivovarmazak")</f>
        <v>https://www.facebook.com/pivovarmazak</v>
      </c>
      <c r="K102" s="6" t="s">
        <v>990</v>
      </c>
      <c r="L102" s="6"/>
      <c r="M102" s="6"/>
      <c r="N102" s="12" t="s">
        <v>991</v>
      </c>
      <c r="O102" s="6" t="s">
        <v>992</v>
      </c>
      <c r="P102" s="6"/>
      <c r="Q102" s="15" t="s">
        <v>993</v>
      </c>
      <c r="R102" s="6" t="s">
        <v>994</v>
      </c>
      <c r="S102" s="6">
        <v>48.856708900000001</v>
      </c>
      <c r="T102" s="6">
        <v>17.034821699999998</v>
      </c>
      <c r="U102" s="6"/>
      <c r="V102" s="6"/>
      <c r="W102" s="6"/>
      <c r="X102" s="6"/>
      <c r="Y102" s="6"/>
      <c r="Z102" s="6"/>
      <c r="AA102" s="6"/>
      <c r="AB102" s="6"/>
      <c r="AD102" s="6"/>
      <c r="AE102" s="16"/>
      <c r="AF102" t="str">
        <f t="shared" si="0"/>
        <v/>
      </c>
    </row>
    <row r="103" spans="1:37">
      <c r="A103" s="19">
        <v>92</v>
      </c>
      <c r="B103" s="20" t="s">
        <v>995</v>
      </c>
      <c r="C103" s="20" t="s">
        <v>996</v>
      </c>
      <c r="D103" s="16" t="s">
        <v>997</v>
      </c>
      <c r="E103" s="23" t="s">
        <v>998</v>
      </c>
      <c r="F103" s="20" t="s">
        <v>113</v>
      </c>
      <c r="G103" s="24">
        <v>2001.2016000000001</v>
      </c>
      <c r="H103" s="19">
        <v>300</v>
      </c>
      <c r="I103" s="16" t="s">
        <v>999</v>
      </c>
      <c r="J103" s="20"/>
      <c r="K103" s="37" t="s">
        <v>1000</v>
      </c>
      <c r="L103" s="20"/>
      <c r="M103" s="16" t="s">
        <v>1001</v>
      </c>
      <c r="N103" s="20"/>
      <c r="O103" s="20" t="s">
        <v>1002</v>
      </c>
      <c r="P103" s="16" t="s">
        <v>995</v>
      </c>
      <c r="Q103" s="20"/>
      <c r="R103" s="20" t="s">
        <v>1003</v>
      </c>
      <c r="S103" s="19">
        <v>49.770366899999999</v>
      </c>
      <c r="T103" s="19">
        <v>13.3632878</v>
      </c>
      <c r="U103" s="20"/>
      <c r="V103" s="20"/>
      <c r="W103" s="20"/>
      <c r="X103" s="20"/>
      <c r="Y103" s="20" t="s">
        <v>47</v>
      </c>
      <c r="Z103" s="20" t="s">
        <v>47</v>
      </c>
      <c r="AA103" s="20"/>
      <c r="AB103" s="20"/>
      <c r="AC103" s="20"/>
      <c r="AD103" s="20"/>
      <c r="AE103" s="20"/>
      <c r="AF103" t="str">
        <f t="shared" si="0"/>
        <v>ANO</v>
      </c>
      <c r="AG103" s="20"/>
      <c r="AH103" s="20"/>
      <c r="AI103" s="20"/>
      <c r="AJ103" s="20"/>
      <c r="AK103" s="20"/>
    </row>
    <row r="104" spans="1:37">
      <c r="A104" s="6">
        <v>93</v>
      </c>
      <c r="B104" s="6" t="s">
        <v>1004</v>
      </c>
      <c r="C104" s="6" t="s">
        <v>1005</v>
      </c>
      <c r="D104" s="6" t="s">
        <v>1006</v>
      </c>
      <c r="E104" s="12" t="s">
        <v>1007</v>
      </c>
      <c r="F104" s="6" t="s">
        <v>38</v>
      </c>
      <c r="G104" s="11">
        <v>2000</v>
      </c>
      <c r="H104" s="6">
        <v>350</v>
      </c>
      <c r="I104" s="13" t="str">
        <f>HYPERLINK("http://www.medlesice.cz","http://www.medlesice.cz")</f>
        <v>http://www.medlesice.cz</v>
      </c>
      <c r="J104" s="6"/>
      <c r="K104" s="6" t="s">
        <v>1009</v>
      </c>
      <c r="L104" s="6"/>
      <c r="M104" s="6"/>
      <c r="N104" s="6"/>
      <c r="O104" s="6" t="s">
        <v>1010</v>
      </c>
      <c r="P104" s="6"/>
      <c r="Q104" s="15" t="s">
        <v>1011</v>
      </c>
      <c r="R104" s="6" t="s">
        <v>1012</v>
      </c>
      <c r="S104" s="6">
        <v>49.977772000000002</v>
      </c>
      <c r="T104" s="6">
        <v>15.770657</v>
      </c>
      <c r="U104" s="6"/>
      <c r="V104" s="6"/>
      <c r="W104" s="6" t="s">
        <v>47</v>
      </c>
      <c r="X104" s="6" t="s">
        <v>47</v>
      </c>
      <c r="Y104" s="6" t="s">
        <v>47</v>
      </c>
      <c r="Z104" s="6" t="s">
        <v>47</v>
      </c>
      <c r="AA104" s="6" t="s">
        <v>47</v>
      </c>
      <c r="AB104" s="6" t="s">
        <v>47</v>
      </c>
      <c r="AD104" s="6"/>
      <c r="AE104" s="17" t="s">
        <v>47</v>
      </c>
      <c r="AF104" t="str">
        <f t="shared" si="0"/>
        <v>ANO</v>
      </c>
    </row>
    <row r="105" spans="1:37">
      <c r="A105" s="6">
        <v>94</v>
      </c>
      <c r="B105" s="6" t="s">
        <v>1013</v>
      </c>
      <c r="C105" s="6" t="s">
        <v>1014</v>
      </c>
      <c r="D105" s="6" t="s">
        <v>1015</v>
      </c>
      <c r="E105" s="12" t="s">
        <v>1016</v>
      </c>
      <c r="F105" s="6" t="s">
        <v>38</v>
      </c>
      <c r="G105" s="11">
        <v>2013</v>
      </c>
      <c r="H105" s="6"/>
      <c r="I105" s="13" t="str">
        <f>HYPERLINK("http://www.pivovarekmelicharek.cz","http://www.pivovarekmelicharek.cz")</f>
        <v>http://www.pivovarekmelicharek.cz</v>
      </c>
      <c r="J105" s="13" t="str">
        <f>HYPERLINK("https://www.facebook.com/pivovarekmelicharek","https://www.facebook.com/pivovarekmelicharek")</f>
        <v>https://www.facebook.com/pivovarekmelicharek</v>
      </c>
      <c r="K105" s="6" t="s">
        <v>1019</v>
      </c>
      <c r="L105" s="6"/>
      <c r="M105" s="6" t="s">
        <v>1014</v>
      </c>
      <c r="N105" s="6"/>
      <c r="O105" s="6" t="s">
        <v>1020</v>
      </c>
      <c r="P105" s="6" t="s">
        <v>1021</v>
      </c>
      <c r="Q105" s="6"/>
      <c r="R105" s="6" t="s">
        <v>1022</v>
      </c>
      <c r="S105" s="6">
        <v>49.639194000000003</v>
      </c>
      <c r="T105" s="6">
        <v>17.211545999999899</v>
      </c>
      <c r="U105" s="6"/>
      <c r="V105" s="6"/>
      <c r="W105" s="6"/>
      <c r="X105" s="6"/>
      <c r="Y105" s="6"/>
      <c r="Z105" s="6"/>
      <c r="AA105" s="6"/>
      <c r="AB105" s="6"/>
      <c r="AD105" s="6"/>
      <c r="AE105" s="16"/>
      <c r="AF105" t="str">
        <f t="shared" si="0"/>
        <v/>
      </c>
    </row>
    <row r="106" spans="1:37">
      <c r="A106" s="19">
        <v>95</v>
      </c>
      <c r="B106" s="20" t="s">
        <v>1023</v>
      </c>
      <c r="C106" s="20" t="s">
        <v>1024</v>
      </c>
      <c r="D106" s="20" t="s">
        <v>1023</v>
      </c>
      <c r="E106" s="23" t="s">
        <v>1025</v>
      </c>
      <c r="F106" s="20" t="s">
        <v>113</v>
      </c>
      <c r="G106" s="24">
        <v>1892.201</v>
      </c>
      <c r="H106" s="20"/>
      <c r="I106" s="16" t="s">
        <v>1026</v>
      </c>
      <c r="J106" s="20"/>
      <c r="K106" s="26" t="s">
        <v>1027</v>
      </c>
      <c r="L106" s="20" t="s">
        <v>291</v>
      </c>
      <c r="M106" s="20" t="s">
        <v>292</v>
      </c>
      <c r="N106" s="20" t="s">
        <v>1028</v>
      </c>
      <c r="O106" s="20" t="s">
        <v>1023</v>
      </c>
      <c r="P106" s="20"/>
      <c r="Q106" s="20"/>
      <c r="R106" s="20" t="s">
        <v>1029</v>
      </c>
      <c r="S106" s="19">
        <v>50.358065000000003</v>
      </c>
      <c r="T106" s="19">
        <v>13.815588</v>
      </c>
      <c r="U106" s="20"/>
      <c r="V106" s="20"/>
      <c r="W106" s="20"/>
      <c r="X106" s="20"/>
      <c r="Y106" s="20"/>
      <c r="Z106" s="20"/>
      <c r="AA106" s="20"/>
      <c r="AB106" s="20"/>
      <c r="AC106" s="20"/>
      <c r="AD106" s="20"/>
      <c r="AE106" s="20"/>
      <c r="AF106" t="str">
        <f t="shared" si="0"/>
        <v/>
      </c>
      <c r="AG106" s="20"/>
      <c r="AH106" s="20"/>
      <c r="AI106" s="20"/>
      <c r="AJ106" s="20"/>
      <c r="AK106" s="20"/>
    </row>
    <row r="107" spans="1:37">
      <c r="A107" s="6">
        <v>95</v>
      </c>
      <c r="B107" s="6" t="s">
        <v>1030</v>
      </c>
      <c r="C107" s="6" t="s">
        <v>1031</v>
      </c>
      <c r="D107" s="6" t="s">
        <v>1032</v>
      </c>
      <c r="E107" s="12" t="s">
        <v>1033</v>
      </c>
      <c r="F107" s="6" t="s">
        <v>38</v>
      </c>
      <c r="G107" s="11">
        <v>1997</v>
      </c>
      <c r="H107" s="6">
        <v>350</v>
      </c>
      <c r="I107" s="13" t="str">
        <f>HYPERLINK("http://www.minipivovarmiletin.cz","http://www.minipivovarmiletin.cz")</f>
        <v>http://www.minipivovarmiletin.cz</v>
      </c>
      <c r="J107" s="13" t="str">
        <f>HYPERLINK("https://www.facebook.com/pivovar.miletin","https://www.facebook.com/pivovar.miletin")</f>
        <v>https://www.facebook.com/pivovar.miletin</v>
      </c>
      <c r="K107" s="6" t="s">
        <v>1035</v>
      </c>
      <c r="L107" s="6"/>
      <c r="M107" s="6" t="s">
        <v>1031</v>
      </c>
      <c r="N107" s="6"/>
      <c r="O107" s="6" t="s">
        <v>1036</v>
      </c>
      <c r="P107" s="6" t="s">
        <v>1037</v>
      </c>
      <c r="Q107" s="6" t="s">
        <v>1038</v>
      </c>
      <c r="R107" s="6" t="s">
        <v>1039</v>
      </c>
      <c r="S107" s="6">
        <v>50.404079000000003</v>
      </c>
      <c r="T107" s="6">
        <v>15.681191</v>
      </c>
      <c r="U107" s="6"/>
      <c r="V107" s="6"/>
      <c r="W107" s="6"/>
      <c r="X107" s="6" t="s">
        <v>47</v>
      </c>
      <c r="Y107" s="6"/>
      <c r="Z107" s="6" t="s">
        <v>47</v>
      </c>
      <c r="AA107" s="6"/>
      <c r="AB107" s="6"/>
      <c r="AD107" s="6"/>
      <c r="AE107" s="16"/>
      <c r="AF107" t="str">
        <f t="shared" si="0"/>
        <v>ANO</v>
      </c>
    </row>
    <row r="108" spans="1:37">
      <c r="A108" s="6">
        <v>96</v>
      </c>
      <c r="B108" s="6" t="s">
        <v>1041</v>
      </c>
      <c r="C108" s="6" t="s">
        <v>1042</v>
      </c>
      <c r="D108" s="6" t="s">
        <v>1043</v>
      </c>
      <c r="E108" s="12" t="s">
        <v>1044</v>
      </c>
      <c r="F108" s="6" t="s">
        <v>73</v>
      </c>
      <c r="G108" s="11">
        <v>2010</v>
      </c>
      <c r="H108" s="6">
        <v>1500</v>
      </c>
      <c r="I108" s="13" t="str">
        <f>HYPERLINK("http://www.mmxpivo.com","http://www.mmxpivo.com")</f>
        <v>http://www.mmxpivo.com</v>
      </c>
      <c r="J108" s="13" t="str">
        <f>HYPERLINK("https://www.facebook.com/MMXpivovar","https://www.facebook.com/MMXpivovar")</f>
        <v>https://www.facebook.com/MMXpivovar</v>
      </c>
      <c r="K108" s="6" t="s">
        <v>1045</v>
      </c>
      <c r="L108" s="6"/>
      <c r="M108" s="6" t="s">
        <v>1046</v>
      </c>
      <c r="N108" s="6"/>
      <c r="O108" s="6" t="s">
        <v>1041</v>
      </c>
      <c r="P108" s="6"/>
      <c r="Q108" s="15" t="s">
        <v>1047</v>
      </c>
      <c r="R108" s="6" t="s">
        <v>1048</v>
      </c>
      <c r="S108" s="6">
        <v>49.923180000000002</v>
      </c>
      <c r="T108" s="6">
        <v>14.258632499999999</v>
      </c>
      <c r="U108" s="6"/>
      <c r="V108" s="6"/>
      <c r="W108" s="6"/>
      <c r="X108" s="6"/>
      <c r="Y108" s="6"/>
      <c r="Z108" s="6" t="s">
        <v>47</v>
      </c>
      <c r="AA108" s="6"/>
      <c r="AB108" s="6"/>
      <c r="AD108" s="6"/>
      <c r="AE108" s="17" t="s">
        <v>47</v>
      </c>
      <c r="AF108" t="str">
        <f t="shared" si="0"/>
        <v>ANO</v>
      </c>
    </row>
    <row r="109" spans="1:37">
      <c r="A109" s="6">
        <v>97</v>
      </c>
      <c r="B109" s="6" t="s">
        <v>1051</v>
      </c>
      <c r="C109" s="6" t="s">
        <v>1052</v>
      </c>
      <c r="D109" s="6" t="s">
        <v>1051</v>
      </c>
      <c r="E109" s="12" t="s">
        <v>1053</v>
      </c>
      <c r="F109" s="6" t="s">
        <v>73</v>
      </c>
      <c r="G109" s="11">
        <v>2012</v>
      </c>
      <c r="H109" s="6">
        <v>350</v>
      </c>
      <c r="I109" s="13" t="str">
        <f>HYPERLINK("http://www.pivovar.in","http://www.pivovar.in")</f>
        <v>http://www.pivovar.in</v>
      </c>
      <c r="J109" s="13" t="str">
        <f>HYPERLINK("https://www.facebook.com/pivovarmoravskyzizkov","https://www.facebook.com/pivovarmoravskyzizkov")</f>
        <v>https://www.facebook.com/pivovarmoravskyzizkov</v>
      </c>
      <c r="K109" s="6" t="s">
        <v>1054</v>
      </c>
      <c r="L109" s="6"/>
      <c r="M109" s="6" t="s">
        <v>1055</v>
      </c>
      <c r="N109" s="6"/>
      <c r="O109" s="6" t="s">
        <v>1056</v>
      </c>
      <c r="P109" s="6" t="s">
        <v>1052</v>
      </c>
      <c r="Q109" s="6"/>
      <c r="R109" s="6" t="s">
        <v>1057</v>
      </c>
      <c r="S109" s="6">
        <v>48.835607000000003</v>
      </c>
      <c r="T109" s="6">
        <v>16.932524999999899</v>
      </c>
      <c r="U109" s="6"/>
      <c r="V109" s="6"/>
      <c r="W109" s="6"/>
      <c r="X109" s="6" t="s">
        <v>47</v>
      </c>
      <c r="Y109" s="6"/>
      <c r="Z109" s="6"/>
      <c r="AA109" s="6"/>
      <c r="AB109" s="6"/>
      <c r="AD109" s="6"/>
      <c r="AE109" s="16"/>
      <c r="AF109" t="str">
        <f t="shared" si="0"/>
        <v>ANO</v>
      </c>
    </row>
    <row r="110" spans="1:37">
      <c r="A110" s="6">
        <v>98</v>
      </c>
      <c r="B110" s="6" t="s">
        <v>1058</v>
      </c>
      <c r="C110" s="6" t="s">
        <v>1058</v>
      </c>
      <c r="D110" s="6" t="s">
        <v>1034</v>
      </c>
      <c r="E110" s="12" t="s">
        <v>1059</v>
      </c>
      <c r="F110" s="6" t="s">
        <v>73</v>
      </c>
      <c r="G110" s="11">
        <v>2006</v>
      </c>
      <c r="H110" s="6">
        <v>600</v>
      </c>
      <c r="I110" s="13" t="str">
        <f>HYPERLINK("http://www.hostinec-moritz.cz","http://www.hostinec-moritz.cz")</f>
        <v>http://www.hostinec-moritz.cz</v>
      </c>
      <c r="J110" s="13" t="str">
        <f>HYPERLINK("https://www.facebook.com/Moritz-Olomouc-158686700856231","https://www.facebook.com/Moritz-Olomouc-158686700856231")</f>
        <v>https://www.facebook.com/Moritz-Olomouc-158686700856231</v>
      </c>
      <c r="K110" s="6" t="s">
        <v>1060</v>
      </c>
      <c r="L110" s="6"/>
      <c r="M110" s="6" t="s">
        <v>1061</v>
      </c>
      <c r="N110" s="6"/>
      <c r="O110" s="6" t="s">
        <v>1062</v>
      </c>
      <c r="P110" s="6" t="s">
        <v>1063</v>
      </c>
      <c r="Q110" s="6"/>
      <c r="R110" s="6" t="s">
        <v>1064</v>
      </c>
      <c r="S110" s="6">
        <v>49.590609399999998</v>
      </c>
      <c r="T110" s="6">
        <v>17.249724400000002</v>
      </c>
      <c r="U110" s="6"/>
      <c r="V110" s="6" t="s">
        <v>47</v>
      </c>
      <c r="W110" s="6"/>
      <c r="X110" s="6" t="s">
        <v>47</v>
      </c>
      <c r="Y110" s="6"/>
      <c r="Z110" s="6"/>
      <c r="AA110" s="6"/>
      <c r="AB110" s="6"/>
      <c r="AD110" s="6"/>
      <c r="AE110" s="17" t="s">
        <v>47</v>
      </c>
      <c r="AF110" t="str">
        <f t="shared" si="0"/>
        <v>ANO</v>
      </c>
    </row>
    <row r="111" spans="1:37">
      <c r="A111" s="6">
        <v>99</v>
      </c>
      <c r="B111" s="6" t="s">
        <v>1065</v>
      </c>
      <c r="C111" s="6" t="s">
        <v>1066</v>
      </c>
      <c r="D111" s="6" t="s">
        <v>1067</v>
      </c>
      <c r="E111" s="12" t="s">
        <v>1068</v>
      </c>
      <c r="F111" s="6" t="s">
        <v>73</v>
      </c>
      <c r="G111" s="11">
        <v>2011</v>
      </c>
      <c r="H111" s="6"/>
      <c r="I111" s="13" t="str">
        <f>HYPERLINK("http://www.pivovareknakopecku.cz","http://www.pivovareknakopecku.cz")</f>
        <v>http://www.pivovareknakopecku.cz</v>
      </c>
      <c r="J111" s="13" t="str">
        <f>HYPERLINK("https://www.facebook.com/pivovarek.na.kopecku","https://www.facebook.com/pivovarek.na.kopecku")</f>
        <v>https://www.facebook.com/pivovarek.na.kopecku</v>
      </c>
      <c r="K111" s="6" t="s">
        <v>1069</v>
      </c>
      <c r="L111" s="6"/>
      <c r="M111" s="6" t="s">
        <v>1070</v>
      </c>
      <c r="N111" s="6"/>
      <c r="O111" s="6" t="s">
        <v>1071</v>
      </c>
      <c r="P111" s="6"/>
      <c r="Q111" s="15" t="s">
        <v>1072</v>
      </c>
      <c r="R111" s="6" t="s">
        <v>1073</v>
      </c>
      <c r="S111" s="6">
        <v>49.752184</v>
      </c>
      <c r="T111" s="6">
        <v>16.460816000000001</v>
      </c>
      <c r="U111" s="6"/>
      <c r="V111" s="6"/>
      <c r="W111" s="6"/>
      <c r="X111" s="6"/>
      <c r="Y111" s="6"/>
      <c r="Z111" s="6" t="s">
        <v>47</v>
      </c>
      <c r="AA111" s="6"/>
      <c r="AB111" s="6"/>
      <c r="AD111" s="6" t="s">
        <v>47</v>
      </c>
      <c r="AE111" s="17" t="s">
        <v>47</v>
      </c>
      <c r="AF111" t="str">
        <f t="shared" si="0"/>
        <v>ANO</v>
      </c>
    </row>
    <row r="112" spans="1:37">
      <c r="A112" s="6">
        <v>100</v>
      </c>
      <c r="B112" s="6" t="s">
        <v>1074</v>
      </c>
      <c r="C112" s="6" t="s">
        <v>1076</v>
      </c>
      <c r="D112" s="6" t="s">
        <v>1078</v>
      </c>
      <c r="E112" s="12" t="s">
        <v>1080</v>
      </c>
      <c r="F112" s="6" t="s">
        <v>73</v>
      </c>
      <c r="G112" s="11">
        <v>2011</v>
      </c>
      <c r="H112" s="6"/>
      <c r="I112" s="13" t="str">
        <f>HYPERLINK("http://dzekuvranc.cz","http://dzekuvranc.cz")</f>
        <v>http://dzekuvranc.cz</v>
      </c>
      <c r="J112" s="13" t="str">
        <f>HYPERLINK("https://www.facebook.com/dzekuv.ranc","https://www.facebook.com/dzekuv.ranc")</f>
        <v>https://www.facebook.com/dzekuv.ranc</v>
      </c>
      <c r="K112" s="6" t="s">
        <v>1081</v>
      </c>
      <c r="L112" s="6"/>
      <c r="M112" s="6" t="s">
        <v>1082</v>
      </c>
      <c r="N112" s="6"/>
      <c r="O112" s="6" t="s">
        <v>1083</v>
      </c>
      <c r="P112" s="6" t="s">
        <v>1074</v>
      </c>
      <c r="Q112" s="15" t="s">
        <v>1084</v>
      </c>
      <c r="R112" s="6" t="s">
        <v>1085</v>
      </c>
      <c r="S112" s="6">
        <v>49.696556000000001</v>
      </c>
      <c r="T112" s="6">
        <v>15.818908</v>
      </c>
      <c r="U112" s="6"/>
      <c r="V112" s="6"/>
      <c r="W112" s="6"/>
      <c r="X112" s="6" t="s">
        <v>47</v>
      </c>
      <c r="Y112" s="6"/>
      <c r="Z112" s="6"/>
      <c r="AA112" s="6" t="s">
        <v>47</v>
      </c>
      <c r="AB112" s="6"/>
      <c r="AD112" s="6"/>
      <c r="AE112" s="16"/>
      <c r="AF112" t="str">
        <f t="shared" si="0"/>
        <v>ANO</v>
      </c>
    </row>
    <row r="113" spans="1:32">
      <c r="A113" s="6">
        <v>101</v>
      </c>
      <c r="B113" s="6" t="s">
        <v>1086</v>
      </c>
      <c r="C113" s="6" t="s">
        <v>1087</v>
      </c>
      <c r="D113" s="6" t="s">
        <v>1088</v>
      </c>
      <c r="E113" s="12" t="s">
        <v>1089</v>
      </c>
      <c r="F113" s="6" t="s">
        <v>73</v>
      </c>
      <c r="G113" s="11">
        <v>2012</v>
      </c>
      <c r="H113" s="6"/>
      <c r="I113" s="13" t="str">
        <f>HYPERLINK("http://www.pivovar-neumann.cz","http://www.pivovar-neumann.cz")</f>
        <v>http://www.pivovar-neumann.cz</v>
      </c>
      <c r="J113" s="13" t="str">
        <f>HYPERLINK("https://www.facebook.com/RodinnyPivovarNeumann","https://www.facebook.com/RodinnyPivovarNeumann")</f>
        <v>https://www.facebook.com/RodinnyPivovarNeumann</v>
      </c>
      <c r="K113" s="6" t="s">
        <v>1090</v>
      </c>
      <c r="L113" s="6"/>
      <c r="M113" s="6" t="s">
        <v>1087</v>
      </c>
      <c r="N113" s="6"/>
      <c r="O113" s="6" t="s">
        <v>1091</v>
      </c>
      <c r="P113" s="6"/>
      <c r="Q113" s="6"/>
      <c r="R113" s="6" t="s">
        <v>1092</v>
      </c>
      <c r="S113" s="6">
        <v>50.352941000000001</v>
      </c>
      <c r="T113" s="6">
        <v>14.6934609999999</v>
      </c>
      <c r="U113" s="6"/>
      <c r="V113" s="6"/>
      <c r="W113" s="6"/>
      <c r="X113" s="6"/>
      <c r="Y113" s="6"/>
      <c r="Z113" s="6"/>
      <c r="AA113" s="6" t="s">
        <v>47</v>
      </c>
      <c r="AB113" s="6"/>
      <c r="AD113" s="6"/>
      <c r="AE113" s="17" t="s">
        <v>47</v>
      </c>
      <c r="AF113" t="str">
        <f t="shared" si="0"/>
        <v>ANO</v>
      </c>
    </row>
    <row r="114" spans="1:32">
      <c r="A114" s="6">
        <v>102</v>
      </c>
      <c r="B114" s="6" t="s">
        <v>1093</v>
      </c>
      <c r="C114" s="6" t="s">
        <v>1094</v>
      </c>
      <c r="D114" s="6" t="s">
        <v>419</v>
      </c>
      <c r="E114" s="12" t="s">
        <v>1095</v>
      </c>
      <c r="F114" s="6" t="s">
        <v>73</v>
      </c>
      <c r="G114" s="11">
        <v>1993</v>
      </c>
      <c r="H114" s="6">
        <v>1500</v>
      </c>
      <c r="I114" s="13" t="str">
        <f>HYPERLINK("http://www.npivovar.cz","http://www.npivovar.cz")</f>
        <v>http://www.npivovar.cz</v>
      </c>
      <c r="J114" s="13" t="str">
        <f>HYPERLINK("https://www.facebook.com/NovomestskyPivovar","https://www.facebook.com/NovomestskyPivovar")</f>
        <v>https://www.facebook.com/NovomestskyPivovar</v>
      </c>
      <c r="K114" s="6" t="s">
        <v>1097</v>
      </c>
      <c r="L114" s="6"/>
      <c r="M114" s="6" t="s">
        <v>1098</v>
      </c>
      <c r="N114" s="6"/>
      <c r="O114" s="6" t="s">
        <v>1093</v>
      </c>
      <c r="P114" s="6"/>
      <c r="Q114" s="6"/>
      <c r="R114" s="6" t="s">
        <v>1099</v>
      </c>
      <c r="S114" s="6">
        <v>50.079546700000002</v>
      </c>
      <c r="T114" s="6">
        <v>14.423105</v>
      </c>
      <c r="U114" s="6"/>
      <c r="V114" s="6"/>
      <c r="W114" s="6"/>
      <c r="X114" s="6"/>
      <c r="Y114" s="6"/>
      <c r="Z114" s="6"/>
      <c r="AA114" s="6"/>
      <c r="AB114" s="6"/>
      <c r="AD114" s="6"/>
      <c r="AE114" s="16"/>
      <c r="AF114" t="str">
        <f t="shared" si="0"/>
        <v/>
      </c>
    </row>
    <row r="115" spans="1:32">
      <c r="A115" s="6">
        <v>103</v>
      </c>
      <c r="B115" s="6" t="s">
        <v>1100</v>
      </c>
      <c r="C115" s="6" t="s">
        <v>1101</v>
      </c>
      <c r="D115" s="6" t="s">
        <v>1100</v>
      </c>
      <c r="E115" s="12" t="s">
        <v>1102</v>
      </c>
      <c r="F115" s="6" t="s">
        <v>91</v>
      </c>
      <c r="G115" s="11">
        <v>1872</v>
      </c>
      <c r="H115" s="6">
        <v>45000</v>
      </c>
      <c r="I115" s="13" t="str">
        <f>HYPERLINK("http://www.novopackepivo.cz","http://www.novopackepivo.cz")</f>
        <v>http://www.novopackepivo.cz</v>
      </c>
      <c r="J115" s="13" t="str">
        <f>HYPERLINK("https://www.facebook.com/Pivovar-Nová-Paka-as-184664378069","https://www.facebook.com/Pivovar-Nová-Paka-as-184664378069")</f>
        <v>https://www.facebook.com/Pivovar-Nová-Paka-as-184664378069</v>
      </c>
      <c r="K115" s="6" t="s">
        <v>1103</v>
      </c>
      <c r="L115" s="6"/>
      <c r="M115" s="6" t="s">
        <v>1104</v>
      </c>
      <c r="N115" s="6"/>
      <c r="O115" s="6" t="s">
        <v>1105</v>
      </c>
      <c r="P115" s="6"/>
      <c r="Q115" s="6"/>
      <c r="R115" s="6" t="s">
        <v>1106</v>
      </c>
      <c r="S115" s="6">
        <v>50.487285999999898</v>
      </c>
      <c r="T115" s="6">
        <v>15.524425000000001</v>
      </c>
      <c r="U115" s="6"/>
      <c r="V115" s="6"/>
      <c r="W115" s="6"/>
      <c r="X115" s="6"/>
      <c r="Y115" s="6"/>
      <c r="Z115" s="6"/>
      <c r="AA115" s="6"/>
      <c r="AB115" s="6"/>
      <c r="AD115" s="6"/>
      <c r="AE115" s="16"/>
      <c r="AF115" t="str">
        <f t="shared" si="0"/>
        <v/>
      </c>
    </row>
    <row r="116" spans="1:32" ht="14.25" customHeight="1">
      <c r="A116" s="6">
        <v>104</v>
      </c>
      <c r="B116" s="6" t="s">
        <v>1107</v>
      </c>
      <c r="C116" s="6" t="s">
        <v>1108</v>
      </c>
      <c r="D116" s="6" t="s">
        <v>1109</v>
      </c>
      <c r="E116" s="12" t="s">
        <v>1110</v>
      </c>
      <c r="F116" s="6" t="s">
        <v>73</v>
      </c>
      <c r="G116" s="11">
        <v>2001</v>
      </c>
      <c r="H116" s="6"/>
      <c r="I116" s="13" t="str">
        <f>HYPERLINK("http://www.sklarnaharrachov.cz","http://www.sklarnaharrachov.cz")</f>
        <v>http://www.sklarnaharrachov.cz</v>
      </c>
      <c r="J116" s="13" t="str">
        <f>HYPERLINK("https://www.facebook.com/sklarnaharrachov","https://www.facebook.com/sklarnaharrachov")</f>
        <v>https://www.facebook.com/sklarnaharrachov</v>
      </c>
      <c r="K116" s="32" t="s">
        <v>1111</v>
      </c>
      <c r="L116" s="6"/>
      <c r="M116" s="32" t="s">
        <v>1112</v>
      </c>
      <c r="N116" s="6"/>
      <c r="O116" s="32" t="s">
        <v>1113</v>
      </c>
      <c r="P116" s="32"/>
      <c r="Q116" s="6"/>
      <c r="R116" s="6" t="s">
        <v>1114</v>
      </c>
      <c r="S116" s="6">
        <v>50.782471000000001</v>
      </c>
      <c r="T116" s="6">
        <v>15.419483</v>
      </c>
      <c r="U116" s="6"/>
      <c r="V116" s="6"/>
      <c r="W116" s="6"/>
      <c r="X116" s="6"/>
      <c r="Y116" s="6"/>
      <c r="Z116" s="6"/>
      <c r="AA116" s="6"/>
      <c r="AB116" s="6"/>
      <c r="AD116" s="6"/>
      <c r="AE116" s="16"/>
      <c r="AF116" t="str">
        <f t="shared" si="0"/>
        <v/>
      </c>
    </row>
    <row r="117" spans="1:32">
      <c r="A117" s="6">
        <v>105</v>
      </c>
      <c r="B117" s="6" t="s">
        <v>1115</v>
      </c>
      <c r="C117" s="6" t="s">
        <v>1116</v>
      </c>
      <c r="D117" s="6" t="s">
        <v>1117</v>
      </c>
      <c r="E117" s="12" t="s">
        <v>1118</v>
      </c>
      <c r="F117" s="6" t="s">
        <v>91</v>
      </c>
      <c r="G117" s="11">
        <v>1714</v>
      </c>
      <c r="H117" s="6">
        <v>13500</v>
      </c>
      <c r="I117" s="13" t="str">
        <f>HYPERLINK("http://www.pivovarbroumov.cz","http://www.pivovarbroumov.cz")</f>
        <v>http://www.pivovarbroumov.cz</v>
      </c>
      <c r="J117" s="6"/>
      <c r="K117" s="6" t="s">
        <v>1119</v>
      </c>
      <c r="L117" s="6"/>
      <c r="M117" s="6" t="s">
        <v>1120</v>
      </c>
      <c r="N117" s="6"/>
      <c r="O117" s="6" t="s">
        <v>1121</v>
      </c>
      <c r="P117" s="6"/>
      <c r="Q117" s="6"/>
      <c r="R117" s="6" t="s">
        <v>1122</v>
      </c>
      <c r="S117" s="6">
        <v>50.6037781</v>
      </c>
      <c r="T117" s="6">
        <v>16.334543100000001</v>
      </c>
      <c r="U117" s="6"/>
      <c r="V117" s="6"/>
      <c r="W117" s="6"/>
      <c r="X117" s="6"/>
      <c r="Y117" s="6"/>
      <c r="Z117" s="6"/>
      <c r="AA117" s="6"/>
      <c r="AB117" s="6"/>
      <c r="AD117" s="6"/>
      <c r="AE117" s="16"/>
      <c r="AF117" t="str">
        <f t="shared" si="0"/>
        <v/>
      </c>
    </row>
    <row r="118" spans="1:32">
      <c r="A118" s="6">
        <v>106</v>
      </c>
      <c r="B118" s="6" t="s">
        <v>1123</v>
      </c>
      <c r="C118" s="6" t="s">
        <v>1124</v>
      </c>
      <c r="D118" s="6" t="s">
        <v>1125</v>
      </c>
      <c r="E118" s="12" t="s">
        <v>1126</v>
      </c>
      <c r="F118" s="6" t="s">
        <v>57</v>
      </c>
      <c r="G118" s="11" t="s">
        <v>1127</v>
      </c>
      <c r="H118" s="6"/>
      <c r="I118" s="13" t="str">
        <f>HYPERLINK("http://pivovarhelf.cz","http://pivovarhelf.cz")</f>
        <v>http://pivovarhelf.cz</v>
      </c>
      <c r="J118" s="13" t="str">
        <f>HYPERLINK("https://www.facebook.com/pivovarHELF","https://www.facebook.com/pivovarHELF")</f>
        <v>https://www.facebook.com/pivovarHELF</v>
      </c>
      <c r="K118" s="6" t="s">
        <v>1128</v>
      </c>
      <c r="L118" s="6"/>
      <c r="M118" s="6" t="s">
        <v>1129</v>
      </c>
      <c r="N118" s="6" t="s">
        <v>1130</v>
      </c>
      <c r="O118" s="6" t="s">
        <v>1131</v>
      </c>
      <c r="P118" s="6" t="s">
        <v>1132</v>
      </c>
      <c r="Q118" s="6"/>
      <c r="R118" s="6" t="s">
        <v>1133</v>
      </c>
      <c r="S118" s="6">
        <v>49.5099667</v>
      </c>
      <c r="T118" s="6">
        <v>17.520281700000002</v>
      </c>
      <c r="U118" s="6"/>
      <c r="V118" s="6"/>
      <c r="W118" s="6"/>
      <c r="X118" s="6" t="s">
        <v>47</v>
      </c>
      <c r="Y118" s="6"/>
      <c r="Z118" s="6" t="s">
        <v>47</v>
      </c>
      <c r="AA118" s="6"/>
      <c r="AB118" s="6"/>
      <c r="AD118" s="6"/>
      <c r="AE118" s="16"/>
      <c r="AF118" t="str">
        <f t="shared" si="0"/>
        <v>ANO</v>
      </c>
    </row>
    <row r="119" spans="1:32">
      <c r="A119" s="6">
        <v>107</v>
      </c>
      <c r="B119" s="6" t="s">
        <v>1134</v>
      </c>
      <c r="C119" s="6" t="s">
        <v>1135</v>
      </c>
      <c r="D119" s="6" t="s">
        <v>1136</v>
      </c>
      <c r="E119" s="12" t="s">
        <v>1137</v>
      </c>
      <c r="F119" s="6" t="s">
        <v>91</v>
      </c>
      <c r="G119" s="11">
        <v>1897</v>
      </c>
      <c r="H119" s="6">
        <v>740000</v>
      </c>
      <c r="I119" s="13" t="str">
        <f>HYPERLINK("http://www.ostravar.cz","http://www.ostravar.cz")</f>
        <v>http://www.ostravar.cz</v>
      </c>
      <c r="J119" s="13" t="str">
        <f>HYPERLINK("https://www.facebook.com/OSTRAVAR","https://www.facebook.com/OSTRAVAR")</f>
        <v>https://www.facebook.com/OSTRAVAR</v>
      </c>
      <c r="K119" s="6" t="s">
        <v>1141</v>
      </c>
      <c r="L119" s="6" t="s">
        <v>280</v>
      </c>
      <c r="M119" s="6" t="s">
        <v>281</v>
      </c>
      <c r="N119" s="6"/>
      <c r="O119" s="6" t="s">
        <v>1142</v>
      </c>
      <c r="P119" s="6" t="s">
        <v>1143</v>
      </c>
      <c r="Q119" s="6"/>
      <c r="R119" s="6" t="s">
        <v>1144</v>
      </c>
      <c r="S119" s="6">
        <v>49.838776699999997</v>
      </c>
      <c r="T119" s="6">
        <v>18.2733025</v>
      </c>
      <c r="U119" s="6"/>
      <c r="V119" s="6"/>
      <c r="W119" s="6"/>
      <c r="X119" s="6"/>
      <c r="Y119" s="6"/>
      <c r="Z119" s="6"/>
      <c r="AA119" s="6"/>
      <c r="AB119" s="6"/>
      <c r="AD119" s="6"/>
      <c r="AE119" s="17" t="s">
        <v>47</v>
      </c>
      <c r="AF119" t="str">
        <f t="shared" si="0"/>
        <v>ANO</v>
      </c>
    </row>
    <row r="120" spans="1:32">
      <c r="A120" s="6">
        <v>108</v>
      </c>
      <c r="B120" s="6" t="s">
        <v>1145</v>
      </c>
      <c r="C120" s="6" t="s">
        <v>1146</v>
      </c>
      <c r="D120" s="6" t="s">
        <v>1145</v>
      </c>
      <c r="E120" s="12" t="s">
        <v>1147</v>
      </c>
      <c r="F120" s="6" t="s">
        <v>73</v>
      </c>
      <c r="G120" s="11">
        <v>2009</v>
      </c>
      <c r="H120" s="6">
        <v>300</v>
      </c>
      <c r="I120" s="13" t="str">
        <f>HYPERLINK("http://www.minipivovarpacov.cz","http://www.minipivovarpacov.cz")</f>
        <v>http://www.minipivovarpacov.cz</v>
      </c>
      <c r="J120" s="13" t="str">
        <f>HYPERLINK("https://www.facebook.com/Rodinný-minipivovar-Pacov-400349516722196","https://www.facebook.com/Rodinný-minipivovar-Pacov-400349516722196")</f>
        <v>https://www.facebook.com/Rodinný-minipivovar-Pacov-400349516722196</v>
      </c>
      <c r="K120" s="6" t="s">
        <v>1148</v>
      </c>
      <c r="L120" s="6"/>
      <c r="M120" s="6"/>
      <c r="N120" s="6"/>
      <c r="O120" s="6" t="s">
        <v>1149</v>
      </c>
      <c r="P120" s="6"/>
      <c r="Q120" s="6"/>
      <c r="R120" s="6" t="s">
        <v>1150</v>
      </c>
      <c r="S120" s="6">
        <v>49.471505800000003</v>
      </c>
      <c r="T120" s="6">
        <v>15.0022222</v>
      </c>
      <c r="U120" s="6"/>
      <c r="V120" s="6"/>
      <c r="W120" s="6"/>
      <c r="X120" s="6"/>
      <c r="Y120" s="6"/>
      <c r="Z120" s="6"/>
      <c r="AA120" s="6"/>
      <c r="AB120" s="6"/>
      <c r="AD120" s="6"/>
      <c r="AE120" s="16"/>
      <c r="AF120" t="str">
        <f t="shared" si="0"/>
        <v/>
      </c>
    </row>
    <row r="121" spans="1:32">
      <c r="A121" s="6">
        <v>109</v>
      </c>
      <c r="B121" s="6" t="s">
        <v>1151</v>
      </c>
      <c r="C121" s="6" t="s">
        <v>1152</v>
      </c>
      <c r="D121" s="6" t="s">
        <v>1153</v>
      </c>
      <c r="E121" s="12" t="s">
        <v>1154</v>
      </c>
      <c r="F121" s="6" t="s">
        <v>73</v>
      </c>
      <c r="G121" s="11">
        <v>2009</v>
      </c>
      <c r="H121" s="6"/>
      <c r="I121" s="13" t="str">
        <f>HYPERLINK("http://www.parnikpivovar.cz","http://www.parnikpivovar.cz")</f>
        <v>http://www.parnikpivovar.cz</v>
      </c>
      <c r="J121" s="13" t="str">
        <f>HYPERLINK("https://www.facebook.com/parnikpivovar","https://www.facebook.com/parnikpivovar")</f>
        <v>https://www.facebook.com/parnikpivovar</v>
      </c>
      <c r="K121" s="6" t="s">
        <v>1156</v>
      </c>
      <c r="L121" s="6"/>
      <c r="M121" s="6" t="s">
        <v>1157</v>
      </c>
      <c r="N121" s="6"/>
      <c r="O121" s="6" t="s">
        <v>1158</v>
      </c>
      <c r="P121" s="6" t="s">
        <v>1152</v>
      </c>
      <c r="Q121" s="15" t="s">
        <v>1159</v>
      </c>
      <c r="R121" s="6" t="s">
        <v>1160</v>
      </c>
      <c r="S121" s="6">
        <v>49.444965000000003</v>
      </c>
      <c r="T121" s="6">
        <v>17.451494</v>
      </c>
      <c r="U121" s="6"/>
      <c r="V121" s="6"/>
      <c r="W121" s="6"/>
      <c r="X121" s="6" t="s">
        <v>47</v>
      </c>
      <c r="Y121" s="6"/>
      <c r="Z121" s="6"/>
      <c r="AA121" s="6"/>
      <c r="AB121" s="6"/>
      <c r="AC121" t="s">
        <v>47</v>
      </c>
      <c r="AD121" s="6"/>
      <c r="AE121" s="17" t="s">
        <v>47</v>
      </c>
      <c r="AF121" t="str">
        <f t="shared" si="0"/>
        <v>ANO</v>
      </c>
    </row>
    <row r="122" spans="1:32">
      <c r="A122" s="6">
        <v>110</v>
      </c>
      <c r="B122" s="6" t="s">
        <v>1161</v>
      </c>
      <c r="C122" s="6" t="s">
        <v>1162</v>
      </c>
      <c r="D122" s="6" t="s">
        <v>1163</v>
      </c>
      <c r="E122" s="12" t="s">
        <v>1164</v>
      </c>
      <c r="F122" s="6" t="s">
        <v>73</v>
      </c>
      <c r="G122" s="11">
        <v>2012</v>
      </c>
      <c r="H122" s="6"/>
      <c r="I122" s="13" t="str">
        <f>HYPERLINK("http://www.lucnibouda.cz","http://www.lucnibouda.cz")</f>
        <v>http://www.lucnibouda.cz</v>
      </c>
      <c r="J122" s="13" t="str">
        <f>HYPERLINK("https://www.facebook.com/LucniboudaCZ","https://www.facebook.com/LucniboudaCZ")</f>
        <v>https://www.facebook.com/LucniboudaCZ</v>
      </c>
      <c r="K122" s="6" t="s">
        <v>1166</v>
      </c>
      <c r="L122" s="6"/>
      <c r="M122" s="6" t="s">
        <v>1167</v>
      </c>
      <c r="N122" s="6"/>
      <c r="O122" s="6" t="s">
        <v>1161</v>
      </c>
      <c r="P122" s="6" t="s">
        <v>1168</v>
      </c>
      <c r="Q122" s="6"/>
      <c r="R122" s="6" t="s">
        <v>1169</v>
      </c>
      <c r="S122" s="6">
        <v>50.7343809999999</v>
      </c>
      <c r="T122" s="6">
        <v>15.697032</v>
      </c>
      <c r="U122" s="6"/>
      <c r="V122" s="6"/>
      <c r="W122" s="6"/>
      <c r="X122" s="6"/>
      <c r="Y122" s="6"/>
      <c r="Z122" s="6" t="s">
        <v>47</v>
      </c>
      <c r="AA122" s="6"/>
      <c r="AB122" s="6"/>
      <c r="AD122" s="6"/>
      <c r="AE122" s="16"/>
      <c r="AF122" t="str">
        <f t="shared" si="0"/>
        <v>ANO</v>
      </c>
    </row>
    <row r="123" spans="1:32">
      <c r="A123" s="6">
        <v>111</v>
      </c>
      <c r="B123" s="6" t="s">
        <v>1170</v>
      </c>
      <c r="C123" s="6" t="s">
        <v>1171</v>
      </c>
      <c r="D123" s="6" t="s">
        <v>1140</v>
      </c>
      <c r="E123" s="12" t="s">
        <v>1172</v>
      </c>
      <c r="F123" s="6" t="s">
        <v>73</v>
      </c>
      <c r="G123" s="11">
        <v>2010</v>
      </c>
      <c r="H123" s="6">
        <v>240</v>
      </c>
      <c r="I123" s="13" t="str">
        <f>HYPERLINK("http://www.pivopasak.cz","http://www.pivopasak.cz")</f>
        <v>http://www.pivopasak.cz</v>
      </c>
      <c r="J123" s="13" t="str">
        <f>HYPERLINK("https://www.facebook.com/Plzeňský-Pašák-144034892297019","https://www.facebook.com/Plzeňský-Pašák-144034892297019")</f>
        <v>https://www.facebook.com/Plzeňský-Pašák-144034892297019</v>
      </c>
      <c r="K123" s="6" t="s">
        <v>1174</v>
      </c>
      <c r="L123" s="6"/>
      <c r="M123" s="6" t="s">
        <v>1175</v>
      </c>
      <c r="N123" s="6"/>
      <c r="O123" s="6" t="s">
        <v>1176</v>
      </c>
      <c r="P123" s="6" t="s">
        <v>1177</v>
      </c>
      <c r="Q123" s="6"/>
      <c r="R123" s="6" t="s">
        <v>1178</v>
      </c>
      <c r="S123" s="6">
        <v>49.746727999999898</v>
      </c>
      <c r="T123" s="6">
        <v>13.3677829999999</v>
      </c>
      <c r="U123" s="6"/>
      <c r="V123" s="6"/>
      <c r="W123" s="6"/>
      <c r="X123" s="6"/>
      <c r="Y123" s="6" t="s">
        <v>47</v>
      </c>
      <c r="Z123" s="6"/>
      <c r="AA123" s="6"/>
      <c r="AB123" s="6"/>
      <c r="AD123" s="6"/>
      <c r="AE123" s="16"/>
      <c r="AF123" t="str">
        <f t="shared" si="0"/>
        <v>ANO</v>
      </c>
    </row>
    <row r="124" spans="1:32">
      <c r="A124" s="6">
        <v>112</v>
      </c>
      <c r="B124" s="6" t="s">
        <v>1179</v>
      </c>
      <c r="C124" s="6" t="s">
        <v>1180</v>
      </c>
      <c r="D124" s="6" t="s">
        <v>1018</v>
      </c>
      <c r="E124" s="12" t="s">
        <v>1181</v>
      </c>
      <c r="F124" s="6" t="s">
        <v>73</v>
      </c>
      <c r="G124" s="11">
        <v>1992</v>
      </c>
      <c r="H124" s="6">
        <v>2700</v>
      </c>
      <c r="I124" s="13" t="str">
        <f>HYPERLINK("http://www.hotelpegas.cz","http://www.hotelpegas.cz")</f>
        <v>http://www.hotelpegas.cz</v>
      </c>
      <c r="J124" s="13" t="str">
        <f>HYPERLINK("https://www.facebook.com/Hotel-Pegas-Brno-111384428892774","https://www.facebook.com/Hotel-Pegas-Brno-111384428892774")</f>
        <v>https://www.facebook.com/Hotel-Pegas-Brno-111384428892774</v>
      </c>
      <c r="K124" s="6" t="s">
        <v>1182</v>
      </c>
      <c r="L124" s="6"/>
      <c r="M124" s="6" t="s">
        <v>1183</v>
      </c>
      <c r="N124" s="6"/>
      <c r="O124" s="6" t="s">
        <v>1184</v>
      </c>
      <c r="P124" s="6" t="s">
        <v>1185</v>
      </c>
      <c r="Q124" s="6"/>
      <c r="R124" s="6" t="s">
        <v>1186</v>
      </c>
      <c r="S124" s="6">
        <v>49.196213</v>
      </c>
      <c r="T124" s="6">
        <v>16.607095999999899</v>
      </c>
      <c r="U124" s="6"/>
      <c r="V124" s="6"/>
      <c r="W124" s="6"/>
      <c r="X124" s="6"/>
      <c r="Y124" s="6"/>
      <c r="Z124" s="6" t="s">
        <v>47</v>
      </c>
      <c r="AA124" s="6" t="s">
        <v>47</v>
      </c>
      <c r="AB124" s="6"/>
      <c r="AD124" s="6"/>
      <c r="AE124" s="17" t="s">
        <v>47</v>
      </c>
      <c r="AF124" t="str">
        <f t="shared" si="0"/>
        <v>ANO</v>
      </c>
    </row>
    <row r="125" spans="1:32">
      <c r="A125" s="6">
        <v>113</v>
      </c>
      <c r="B125" s="6" t="s">
        <v>1187</v>
      </c>
      <c r="C125" s="6" t="s">
        <v>1188</v>
      </c>
      <c r="D125" s="6" t="s">
        <v>986</v>
      </c>
      <c r="E125" s="12" t="s">
        <v>1189</v>
      </c>
      <c r="F125" s="6" t="s">
        <v>38</v>
      </c>
      <c r="G125" s="11">
        <v>2006</v>
      </c>
      <c r="H125" s="6">
        <v>3000</v>
      </c>
      <c r="I125" s="13" t="str">
        <f>HYPERLINK("http://www.pivopermon.cz","http://www.pivopermon.cz")</f>
        <v>http://www.pivopermon.cz</v>
      </c>
      <c r="J125" s="13" t="str">
        <f>HYPERLINK("https://www.facebook.com/pivopermon","https://www.facebook.com/pivopermon")</f>
        <v>https://www.facebook.com/pivopermon</v>
      </c>
      <c r="K125" s="6" t="s">
        <v>1190</v>
      </c>
      <c r="L125" s="6"/>
      <c r="M125" s="6" t="s">
        <v>1191</v>
      </c>
      <c r="N125" s="6"/>
      <c r="O125" s="6" t="s">
        <v>1192</v>
      </c>
      <c r="P125" s="6" t="s">
        <v>1193</v>
      </c>
      <c r="Q125" s="6" t="s">
        <v>1194</v>
      </c>
      <c r="R125" s="6" t="s">
        <v>1195</v>
      </c>
      <c r="S125" s="6">
        <v>50.178382200000001</v>
      </c>
      <c r="T125" s="6">
        <v>12.6375378</v>
      </c>
      <c r="U125" s="6"/>
      <c r="V125" s="6"/>
      <c r="W125" s="6"/>
      <c r="X125" s="6" t="s">
        <v>47</v>
      </c>
      <c r="Y125" s="6"/>
      <c r="Z125" s="6"/>
      <c r="AA125" s="6"/>
      <c r="AB125" s="6"/>
      <c r="AD125" s="6"/>
      <c r="AE125" s="16"/>
      <c r="AF125" t="str">
        <f t="shared" si="0"/>
        <v>ANO</v>
      </c>
    </row>
    <row r="126" spans="1:32">
      <c r="A126" s="6">
        <v>114</v>
      </c>
      <c r="B126" s="6" t="s">
        <v>1196</v>
      </c>
      <c r="C126" s="6" t="s">
        <v>1197</v>
      </c>
      <c r="D126" s="6" t="s">
        <v>1198</v>
      </c>
      <c r="E126" s="12" t="s">
        <v>1199</v>
      </c>
      <c r="F126" s="6" t="s">
        <v>91</v>
      </c>
      <c r="G126" s="11">
        <v>1871</v>
      </c>
      <c r="H126" s="6">
        <v>81000</v>
      </c>
      <c r="I126" s="13" t="str">
        <f>HYPERLINK("http://www.pernstejn.cz","http://www.pernstejn.cz")</f>
        <v>http://www.pernstejn.cz</v>
      </c>
      <c r="J126" s="13" t="str">
        <f>HYPERLINK("https://www.facebook.com/Pernstejn","https://www.facebook.com/Pernstejn")</f>
        <v>https://www.facebook.com/Pernstejn</v>
      </c>
      <c r="K126" s="6" t="s">
        <v>1200</v>
      </c>
      <c r="L126" s="6"/>
      <c r="M126" s="6" t="s">
        <v>1201</v>
      </c>
      <c r="N126" s="6"/>
      <c r="O126" s="6" t="s">
        <v>1202</v>
      </c>
      <c r="P126" s="6" t="s">
        <v>1203</v>
      </c>
      <c r="Q126" s="6"/>
      <c r="R126" s="6" t="s">
        <v>1204</v>
      </c>
      <c r="S126" s="6">
        <v>50.035927800000003</v>
      </c>
      <c r="T126" s="6">
        <v>15.7614067</v>
      </c>
      <c r="U126" s="6"/>
      <c r="V126" s="6" t="s">
        <v>47</v>
      </c>
      <c r="W126" s="6"/>
      <c r="X126" s="6" t="s">
        <v>47</v>
      </c>
      <c r="Y126" s="6"/>
      <c r="Z126" s="6" t="s">
        <v>47</v>
      </c>
      <c r="AA126" s="6"/>
      <c r="AB126" s="6"/>
      <c r="AD126" s="6"/>
      <c r="AE126" s="17" t="s">
        <v>47</v>
      </c>
      <c r="AF126" t="str">
        <f t="shared" si="0"/>
        <v>ANO</v>
      </c>
    </row>
    <row r="127" spans="1:32">
      <c r="A127" s="6">
        <v>115</v>
      </c>
      <c r="B127" s="6" t="s">
        <v>1205</v>
      </c>
      <c r="C127" s="6" t="s">
        <v>1206</v>
      </c>
      <c r="D127" s="6" t="s">
        <v>1207</v>
      </c>
      <c r="E127" s="12" t="s">
        <v>1208</v>
      </c>
      <c r="F127" s="6" t="s">
        <v>73</v>
      </c>
      <c r="G127" s="11">
        <v>2007</v>
      </c>
      <c r="H127" s="6">
        <v>1000</v>
      </c>
      <c r="I127" s="13" t="str">
        <f>HYPERLINK("http://www.zamek-zabreh.cz","http://www.zamek-zabreh.cz")</f>
        <v>http://www.zamek-zabreh.cz</v>
      </c>
      <c r="J127" s="13" t="str">
        <f>HYPERLINK("https://www.facebook.com/zamekzabreh","https://www.facebook.com/zamekzabreh")</f>
        <v>https://www.facebook.com/zamekzabreh</v>
      </c>
      <c r="K127" s="6" t="s">
        <v>1209</v>
      </c>
      <c r="L127" s="6"/>
      <c r="M127" s="6" t="s">
        <v>1210</v>
      </c>
      <c r="N127" s="6"/>
      <c r="O127" s="6" t="s">
        <v>1205</v>
      </c>
      <c r="P127" s="6" t="s">
        <v>1211</v>
      </c>
      <c r="Q127" s="15" t="s">
        <v>1212</v>
      </c>
      <c r="R127" s="6" t="s">
        <v>1213</v>
      </c>
      <c r="S127" s="6">
        <v>49.807350300000003</v>
      </c>
      <c r="T127" s="6">
        <v>18.24004</v>
      </c>
      <c r="U127" s="6"/>
      <c r="V127" s="6"/>
      <c r="W127" s="6"/>
      <c r="X127" s="6" t="s">
        <v>47</v>
      </c>
      <c r="Y127" s="6"/>
      <c r="Z127" s="6"/>
      <c r="AA127" s="6" t="s">
        <v>47</v>
      </c>
      <c r="AB127" s="6"/>
      <c r="AD127" s="6" t="s">
        <v>47</v>
      </c>
      <c r="AE127" s="17" t="s">
        <v>47</v>
      </c>
      <c r="AF127" t="str">
        <f t="shared" si="0"/>
        <v>ANO</v>
      </c>
    </row>
    <row r="128" spans="1:32">
      <c r="A128" s="6">
        <v>116</v>
      </c>
      <c r="B128" s="6" t="s">
        <v>1214</v>
      </c>
      <c r="C128" s="6" t="s">
        <v>1215</v>
      </c>
      <c r="D128" s="6" t="s">
        <v>1216</v>
      </c>
      <c r="E128" s="12" t="s">
        <v>1217</v>
      </c>
      <c r="F128" s="6" t="s">
        <v>91</v>
      </c>
      <c r="G128" s="11">
        <v>1842</v>
      </c>
      <c r="H128" s="6">
        <v>9900000</v>
      </c>
      <c r="I128" s="13" t="str">
        <f>HYPERLINK("http://www.pilsner-urquell.cz","http://www.pilsner-urquell.cz")</f>
        <v>http://www.pilsner-urquell.cz</v>
      </c>
      <c r="J128" s="13" t="str">
        <f>HYPERLINK("https://www.facebook.com/plzen.prazdroj","https://www.facebook.com/plzen.prazdroj")</f>
        <v>https://www.facebook.com/plzen.prazdroj</v>
      </c>
      <c r="K128" s="6" t="s">
        <v>1218</v>
      </c>
      <c r="L128" s="6" t="s">
        <v>1219</v>
      </c>
      <c r="M128" s="6" t="s">
        <v>1220</v>
      </c>
      <c r="N128" s="6"/>
      <c r="O128" s="6" t="s">
        <v>1221</v>
      </c>
      <c r="P128" s="6"/>
      <c r="Q128" s="6"/>
      <c r="R128" s="6" t="s">
        <v>1222</v>
      </c>
      <c r="S128" s="6">
        <v>49.7476944</v>
      </c>
      <c r="T128" s="6">
        <v>13.3873561</v>
      </c>
      <c r="U128" s="6"/>
      <c r="V128" s="6"/>
      <c r="W128" s="6"/>
      <c r="X128" s="6"/>
      <c r="Y128" s="6" t="s">
        <v>47</v>
      </c>
      <c r="Z128" s="6"/>
      <c r="AA128" s="6"/>
      <c r="AB128" s="6"/>
      <c r="AD128" s="6"/>
      <c r="AE128" s="16"/>
      <c r="AF128" t="str">
        <f t="shared" si="0"/>
        <v>ANO</v>
      </c>
    </row>
    <row r="129" spans="1:37">
      <c r="A129" s="6">
        <v>117</v>
      </c>
      <c r="B129" s="6" t="s">
        <v>1224</v>
      </c>
      <c r="C129" s="6" t="s">
        <v>1225</v>
      </c>
      <c r="D129" s="6" t="s">
        <v>1224</v>
      </c>
      <c r="E129" s="12" t="s">
        <v>1226</v>
      </c>
      <c r="F129" s="6" t="s">
        <v>91</v>
      </c>
      <c r="G129" s="11">
        <v>1598</v>
      </c>
      <c r="H129" s="6">
        <v>260000</v>
      </c>
      <c r="I129" s="13" t="str">
        <f>HYPERLINK("http://www.pivovar-protivin.cz","http://www.pivovar-protivin.cz")</f>
        <v>http://www.pivovar-protivin.cz</v>
      </c>
      <c r="J129" s="15" t="s">
        <v>1227</v>
      </c>
      <c r="K129" s="6" t="s">
        <v>1228</v>
      </c>
      <c r="L129" s="6" t="s">
        <v>308</v>
      </c>
      <c r="M129" s="6" t="s">
        <v>1229</v>
      </c>
      <c r="N129" s="6"/>
      <c r="O129" s="6" t="s">
        <v>1230</v>
      </c>
      <c r="P129" s="6"/>
      <c r="Q129" s="6"/>
      <c r="R129" s="6" t="s">
        <v>1231</v>
      </c>
      <c r="S129" s="6">
        <v>49.204605999999899</v>
      </c>
      <c r="T129" s="6">
        <v>14.217657000000001</v>
      </c>
      <c r="U129" s="6"/>
      <c r="V129" s="6"/>
      <c r="W129" s="6"/>
      <c r="X129" s="6"/>
      <c r="Y129" s="6"/>
      <c r="Z129" s="6" t="s">
        <v>47</v>
      </c>
      <c r="AA129" s="6"/>
      <c r="AB129" s="6"/>
      <c r="AD129" s="6"/>
      <c r="AE129" s="16"/>
      <c r="AF129" t="str">
        <f t="shared" si="0"/>
        <v>ANO</v>
      </c>
    </row>
    <row r="130" spans="1:37">
      <c r="A130" s="6">
        <v>118</v>
      </c>
      <c r="B130" s="6" t="s">
        <v>1232</v>
      </c>
      <c r="C130" s="6" t="s">
        <v>1233</v>
      </c>
      <c r="D130" s="6" t="s">
        <v>1234</v>
      </c>
      <c r="E130" s="12" t="s">
        <v>1235</v>
      </c>
      <c r="F130" s="6" t="s">
        <v>73</v>
      </c>
      <c r="G130" s="11">
        <v>2009</v>
      </c>
      <c r="H130" s="6"/>
      <c r="I130" s="13" t="str">
        <f>HYPERLINK("http://www.poddzbanskypivovar.cz","http://www.poddzbanskypivovar.cz")</f>
        <v>http://www.poddzbanskypivovar.cz</v>
      </c>
      <c r="J130" s="13" t="str">
        <f>HYPERLINK("https://www.facebook.com/poddzbansky.pivovar","https://www.facebook.com/poddzbansky.pivovar")</f>
        <v>https://www.facebook.com/poddzbansky.pivovar</v>
      </c>
      <c r="K130" s="6" t="s">
        <v>1236</v>
      </c>
      <c r="L130" s="6"/>
      <c r="M130" s="6" t="s">
        <v>1237</v>
      </c>
      <c r="N130" s="6"/>
      <c r="O130" s="6" t="s">
        <v>1238</v>
      </c>
      <c r="P130" s="6"/>
      <c r="Q130" s="6"/>
      <c r="R130" s="6" t="s">
        <v>1239</v>
      </c>
      <c r="S130" s="6">
        <v>50.193771099999999</v>
      </c>
      <c r="T130" s="6">
        <v>13.7080336</v>
      </c>
      <c r="U130" s="6"/>
      <c r="V130" s="6"/>
      <c r="W130" s="6"/>
      <c r="X130" s="6"/>
      <c r="Y130" s="6"/>
      <c r="Z130" s="6"/>
      <c r="AA130" s="6"/>
      <c r="AB130" s="6"/>
      <c r="AD130" s="6"/>
      <c r="AE130" s="16"/>
      <c r="AF130" t="str">
        <f t="shared" si="0"/>
        <v/>
      </c>
    </row>
    <row r="131" spans="1:37">
      <c r="A131" s="6">
        <v>119</v>
      </c>
      <c r="B131" s="6" t="s">
        <v>1242</v>
      </c>
      <c r="C131" s="6" t="s">
        <v>1243</v>
      </c>
      <c r="D131" s="6" t="s">
        <v>260</v>
      </c>
      <c r="E131" s="12" t="s">
        <v>1244</v>
      </c>
      <c r="F131" s="6" t="s">
        <v>73</v>
      </c>
      <c r="G131" s="11">
        <v>2013</v>
      </c>
      <c r="H131" s="6"/>
      <c r="I131" s="13" t="str">
        <f>HYPERLINK("http://www.hotel-beskyd.cz","http://www.hotel-beskyd.cz")</f>
        <v>http://www.hotel-beskyd.cz</v>
      </c>
      <c r="J131" s="13" t="str">
        <f>HYPERLINK("https://www.facebook.com/podhorskypivovar","https://www.facebook.com/podhorskypivovar")</f>
        <v>https://www.facebook.com/podhorskypivovar</v>
      </c>
      <c r="K131" s="6" t="s">
        <v>1245</v>
      </c>
      <c r="L131" s="6"/>
      <c r="M131" s="6" t="s">
        <v>1246</v>
      </c>
      <c r="N131" s="6"/>
      <c r="O131" s="6" t="s">
        <v>1247</v>
      </c>
      <c r="P131" s="6" t="s">
        <v>1248</v>
      </c>
      <c r="Q131" s="6" t="s">
        <v>1249</v>
      </c>
      <c r="R131" s="6" t="s">
        <v>1250</v>
      </c>
      <c r="S131" s="6">
        <v>49.593642000000003</v>
      </c>
      <c r="T131" s="6">
        <v>18.359486</v>
      </c>
      <c r="U131" s="6"/>
      <c r="V131" s="6"/>
      <c r="W131" s="6"/>
      <c r="X131" s="6" t="s">
        <v>47</v>
      </c>
      <c r="Y131" s="6"/>
      <c r="Z131" s="6"/>
      <c r="AA131" s="6"/>
      <c r="AB131" s="6"/>
      <c r="AD131" s="6"/>
      <c r="AE131" s="17" t="s">
        <v>47</v>
      </c>
      <c r="AF131" t="str">
        <f t="shared" si="0"/>
        <v>ANO</v>
      </c>
    </row>
    <row r="132" spans="1:37">
      <c r="A132" s="19">
        <v>119</v>
      </c>
      <c r="B132" s="20" t="s">
        <v>1252</v>
      </c>
      <c r="C132" s="20" t="s">
        <v>1253</v>
      </c>
      <c r="D132" s="16" t="s">
        <v>1254</v>
      </c>
      <c r="E132" s="23" t="s">
        <v>1255</v>
      </c>
      <c r="F132" s="20" t="s">
        <v>113</v>
      </c>
      <c r="G132" s="24">
        <v>2013.2014999999999</v>
      </c>
      <c r="H132" s="20"/>
      <c r="I132" s="20"/>
      <c r="J132" s="16" t="s">
        <v>1256</v>
      </c>
      <c r="K132" s="26" t="s">
        <v>1257</v>
      </c>
      <c r="L132" s="20"/>
      <c r="M132" s="20" t="s">
        <v>1258</v>
      </c>
      <c r="N132" s="20" t="s">
        <v>1259</v>
      </c>
      <c r="O132" s="16" t="s">
        <v>1260</v>
      </c>
      <c r="P132" s="20"/>
      <c r="Q132" s="27" t="s">
        <v>1261</v>
      </c>
      <c r="R132" s="20" t="s">
        <v>1262</v>
      </c>
      <c r="S132" s="19">
        <v>49.138516000000003</v>
      </c>
      <c r="T132" s="19">
        <v>15.0086879999999</v>
      </c>
      <c r="U132" s="20"/>
      <c r="V132" s="20"/>
      <c r="W132" s="20"/>
      <c r="X132" s="20"/>
      <c r="Y132" s="20"/>
      <c r="Z132" s="20"/>
      <c r="AA132" s="20"/>
      <c r="AB132" s="20"/>
      <c r="AC132" s="20"/>
      <c r="AD132" s="20"/>
      <c r="AE132" s="20"/>
      <c r="AF132" t="str">
        <f t="shared" si="0"/>
        <v/>
      </c>
      <c r="AG132" s="20"/>
      <c r="AH132" s="20"/>
      <c r="AI132" s="20"/>
      <c r="AJ132" s="20"/>
      <c r="AK132" s="20"/>
    </row>
    <row r="133" spans="1:37">
      <c r="A133" s="6">
        <v>120</v>
      </c>
      <c r="B133" s="6" t="s">
        <v>1263</v>
      </c>
      <c r="C133" s="6" t="s">
        <v>1264</v>
      </c>
      <c r="D133" s="6" t="s">
        <v>1265</v>
      </c>
      <c r="E133" s="12" t="s">
        <v>1266</v>
      </c>
      <c r="F133" s="6" t="s">
        <v>91</v>
      </c>
      <c r="G133" s="11">
        <v>2011</v>
      </c>
      <c r="H133" s="6">
        <v>12000</v>
      </c>
      <c r="I133" s="13" t="str">
        <f>HYPERLINK("http://www.podkovan.cz","http://www.podkovan.cz")</f>
        <v>http://www.podkovan.cz</v>
      </c>
      <c r="J133" s="13" t="str">
        <f>HYPERLINK("https://www.facebook.com/podkovanskepivo","https://www.facebook.com/podkovanskepivo")</f>
        <v>https://www.facebook.com/podkovanskepivo</v>
      </c>
      <c r="K133" s="6" t="s">
        <v>1268</v>
      </c>
      <c r="L133" s="6"/>
      <c r="M133" s="6" t="s">
        <v>1269</v>
      </c>
      <c r="N133" s="6"/>
      <c r="O133" s="6" t="s">
        <v>1263</v>
      </c>
      <c r="P133" s="6"/>
      <c r="Q133" s="6"/>
      <c r="R133" s="6" t="s">
        <v>1270</v>
      </c>
      <c r="S133" s="6">
        <v>50.418996999999898</v>
      </c>
      <c r="T133" s="6">
        <v>14.782864</v>
      </c>
      <c r="U133" s="6"/>
      <c r="V133" s="6"/>
      <c r="W133" s="6"/>
      <c r="X133" s="6"/>
      <c r="Y133" s="6"/>
      <c r="Z133" s="6"/>
      <c r="AA133" s="6"/>
      <c r="AB133" s="6"/>
      <c r="AD133" s="6"/>
      <c r="AE133" s="16"/>
      <c r="AF133" t="str">
        <f t="shared" si="0"/>
        <v/>
      </c>
    </row>
    <row r="134" spans="1:37">
      <c r="A134" s="6">
        <v>121</v>
      </c>
      <c r="B134" s="6" t="s">
        <v>1271</v>
      </c>
      <c r="C134" s="6" t="s">
        <v>1272</v>
      </c>
      <c r="D134" s="6" t="s">
        <v>1271</v>
      </c>
      <c r="E134" s="12" t="s">
        <v>1273</v>
      </c>
      <c r="F134" s="6" t="s">
        <v>91</v>
      </c>
      <c r="G134" s="11">
        <v>1517</v>
      </c>
      <c r="H134" s="6">
        <v>116000</v>
      </c>
      <c r="I134" s="13" t="str">
        <f>HYPERLINK("http://www.pivovar-policka.cz","http://www.pivovar-policka.cz")</f>
        <v>http://www.pivovar-policka.cz</v>
      </c>
      <c r="J134" s="13" t="str">
        <f>HYPERLINK("https://www.facebook.com/policskepivo","https://www.facebook.com/policskepivo")</f>
        <v>https://www.facebook.com/policskepivo</v>
      </c>
      <c r="K134" s="6" t="s">
        <v>1274</v>
      </c>
      <c r="L134" s="6"/>
      <c r="M134" s="6" t="s">
        <v>1275</v>
      </c>
      <c r="N134" s="6"/>
      <c r="O134" s="6" t="s">
        <v>1276</v>
      </c>
      <c r="P134" s="6"/>
      <c r="Q134" s="6"/>
      <c r="R134" s="6" t="s">
        <v>1277</v>
      </c>
      <c r="S134" s="6">
        <v>49.710827000000002</v>
      </c>
      <c r="T134" s="6">
        <v>16.259985</v>
      </c>
      <c r="U134" s="6"/>
      <c r="V134" s="6"/>
      <c r="W134" s="6"/>
      <c r="X134" s="6"/>
      <c r="Y134" s="6"/>
      <c r="Z134" s="6"/>
      <c r="AA134" s="6"/>
      <c r="AB134" s="6"/>
      <c r="AD134" s="6"/>
      <c r="AE134" s="16"/>
      <c r="AF134" t="str">
        <f t="shared" si="0"/>
        <v/>
      </c>
    </row>
    <row r="135" spans="1:37">
      <c r="A135" s="6">
        <v>122</v>
      </c>
      <c r="B135" s="6" t="s">
        <v>882</v>
      </c>
      <c r="C135" s="6" t="s">
        <v>1278</v>
      </c>
      <c r="D135" s="6" t="s">
        <v>882</v>
      </c>
      <c r="E135" s="12" t="s">
        <v>1279</v>
      </c>
      <c r="F135" s="6" t="s">
        <v>91</v>
      </c>
      <c r="G135" s="11">
        <v>1895</v>
      </c>
      <c r="H135" s="6">
        <v>160000</v>
      </c>
      <c r="I135" s="13" t="str">
        <f>HYPERLINK("http://www.postriziny.cz","http://www.postriziny.cz")</f>
        <v>http://www.postriziny.cz</v>
      </c>
      <c r="J135" s="13" t="str">
        <f>HYPERLINK("https://www.facebook.com/Pivovar-Nymburk-Postřižinské-pivo-260751793964157","https://www.facebook.com/Pivovar-Nymburk-Postřižinské-pivo-260751793964157")</f>
        <v>https://www.facebook.com/Pivovar-Nymburk-Postřižinské-pivo-260751793964157</v>
      </c>
      <c r="K135" s="6" t="s">
        <v>1280</v>
      </c>
      <c r="L135" s="6"/>
      <c r="M135" s="6" t="s">
        <v>1281</v>
      </c>
      <c r="N135" s="6" t="s">
        <v>1282</v>
      </c>
      <c r="O135" s="6" t="s">
        <v>1283</v>
      </c>
      <c r="P135" s="6"/>
      <c r="Q135" s="15" t="s">
        <v>1284</v>
      </c>
      <c r="R135" s="6" t="s">
        <v>1285</v>
      </c>
      <c r="S135" s="6">
        <v>50.178804399999997</v>
      </c>
      <c r="T135" s="6">
        <v>15.038197500000001</v>
      </c>
      <c r="U135" s="6"/>
      <c r="V135" s="6"/>
      <c r="W135" s="6" t="s">
        <v>47</v>
      </c>
      <c r="X135" s="6"/>
      <c r="Y135" s="6"/>
      <c r="Z135" s="6"/>
      <c r="AA135" s="6"/>
      <c r="AB135" s="6"/>
      <c r="AD135" s="6"/>
      <c r="AE135" s="16"/>
      <c r="AF135" t="str">
        <f t="shared" si="0"/>
        <v>ANO</v>
      </c>
    </row>
    <row r="136" spans="1:37">
      <c r="A136" s="6">
        <v>123</v>
      </c>
      <c r="B136" s="6" t="s">
        <v>1286</v>
      </c>
      <c r="C136" s="6" t="s">
        <v>1287</v>
      </c>
      <c r="D136" s="6" t="s">
        <v>227</v>
      </c>
      <c r="E136" s="12" t="s">
        <v>1288</v>
      </c>
      <c r="F136" s="6" t="s">
        <v>91</v>
      </c>
      <c r="G136" s="11">
        <v>1552</v>
      </c>
      <c r="H136" s="6">
        <v>50000</v>
      </c>
      <c r="I136" s="13" t="str">
        <f>HYPERLINK("http://www.pivovarpoutnik.cz","http://www.pivovarpoutnik.cz")</f>
        <v>http://www.pivovarpoutnik.cz</v>
      </c>
      <c r="J136" s="13" t="str">
        <f>HYPERLINK("https://www.facebook.com/pivovarpoutnik","https://www.facebook.com/pivovarpoutnik")</f>
        <v>https://www.facebook.com/pivovarpoutnik</v>
      </c>
      <c r="K136" s="6" t="s">
        <v>1289</v>
      </c>
      <c r="L136" s="6"/>
      <c r="M136" s="6" t="s">
        <v>1290</v>
      </c>
      <c r="N136" s="6"/>
      <c r="O136" s="6" t="s">
        <v>1286</v>
      </c>
      <c r="P136" s="6"/>
      <c r="Q136" s="6"/>
      <c r="R136" s="6" t="s">
        <v>1291</v>
      </c>
      <c r="S136" s="6">
        <v>49.430629000000003</v>
      </c>
      <c r="T136" s="6">
        <v>15.220492</v>
      </c>
      <c r="U136" s="6"/>
      <c r="V136" s="6"/>
      <c r="W136" s="6"/>
      <c r="X136" s="6"/>
      <c r="Y136" s="6"/>
      <c r="Z136" s="6"/>
      <c r="AA136" s="6"/>
      <c r="AB136" s="6"/>
      <c r="AD136" s="6"/>
      <c r="AE136" s="16"/>
      <c r="AF136" t="str">
        <f t="shared" si="0"/>
        <v/>
      </c>
    </row>
    <row r="137" spans="1:37">
      <c r="A137" s="6">
        <v>124</v>
      </c>
      <c r="B137" s="6" t="s">
        <v>1292</v>
      </c>
      <c r="C137" s="6" t="s">
        <v>1293</v>
      </c>
      <c r="D137" s="6" t="s">
        <v>711</v>
      </c>
      <c r="E137" s="12" t="s">
        <v>1294</v>
      </c>
      <c r="F137" s="6" t="s">
        <v>73</v>
      </c>
      <c r="G137" s="18">
        <v>2008</v>
      </c>
      <c r="H137" s="6"/>
      <c r="I137" s="13" t="str">
        <f>HYPERLINK("http://www.pivovarborsov.cz","http://www.pivovarborsov.cz")</f>
        <v>http://www.pivovarborsov.cz</v>
      </c>
      <c r="J137" s="13" t="str">
        <f>HYPERLINK("https://www.facebook.com/Pivovar-Boršov-1361358393940463","https://www.facebook.com/Pivovar-Boršov-1361358393940463")</f>
        <v>https://www.facebook.com/Pivovar-Boršov-1361358393940463</v>
      </c>
      <c r="K137" s="6" t="s">
        <v>1295</v>
      </c>
      <c r="L137" s="6"/>
      <c r="M137" s="6" t="s">
        <v>1296</v>
      </c>
      <c r="N137" s="6" t="s">
        <v>1297</v>
      </c>
      <c r="O137" s="6" t="s">
        <v>1298</v>
      </c>
      <c r="P137" s="6"/>
      <c r="Q137" s="6"/>
      <c r="R137" s="6" t="s">
        <v>1299</v>
      </c>
      <c r="S137" s="6">
        <v>50.083641</v>
      </c>
      <c r="T137" s="6">
        <v>14.414676</v>
      </c>
      <c r="U137" s="6"/>
      <c r="V137" s="6"/>
      <c r="W137" s="6"/>
      <c r="X137" s="6"/>
      <c r="Y137" s="6"/>
      <c r="Z137" s="6"/>
      <c r="AA137" s="6"/>
      <c r="AB137" s="6"/>
      <c r="AD137" s="6" t="s">
        <v>47</v>
      </c>
      <c r="AE137" s="17" t="s">
        <v>47</v>
      </c>
      <c r="AF137" t="str">
        <f t="shared" si="0"/>
        <v>ANO</v>
      </c>
    </row>
    <row r="138" spans="1:37">
      <c r="A138" s="6">
        <v>125</v>
      </c>
      <c r="B138" s="6" t="s">
        <v>1251</v>
      </c>
      <c r="C138" s="6" t="s">
        <v>1300</v>
      </c>
      <c r="D138" s="6" t="s">
        <v>1251</v>
      </c>
      <c r="E138" s="12" t="s">
        <v>1301</v>
      </c>
      <c r="F138" s="6" t="s">
        <v>91</v>
      </c>
      <c r="G138" s="11">
        <v>1872</v>
      </c>
      <c r="H138" s="6">
        <v>135000</v>
      </c>
      <c r="I138" s="13" t="str">
        <f>HYPERLINK("http://www.primator.cz","http://www.primator.cz")</f>
        <v>http://www.primator.cz</v>
      </c>
      <c r="J138" s="13" t="str">
        <f>HYPERLINK("https://www.facebook.com/primator.cz","https://www.facebook.com/primator.cz")</f>
        <v>https://www.facebook.com/primator.cz</v>
      </c>
      <c r="K138" s="6" t="s">
        <v>1302</v>
      </c>
      <c r="L138" s="6" t="s">
        <v>1303</v>
      </c>
      <c r="M138" s="6" t="s">
        <v>1304</v>
      </c>
      <c r="N138" s="6"/>
      <c r="O138" s="6" t="s">
        <v>1305</v>
      </c>
      <c r="P138" s="6"/>
      <c r="Q138" s="6"/>
      <c r="R138" s="6" t="s">
        <v>1306</v>
      </c>
      <c r="S138" s="6">
        <v>50.414935999999898</v>
      </c>
      <c r="T138" s="6">
        <v>16.171274</v>
      </c>
      <c r="U138" s="6"/>
      <c r="V138" s="6"/>
      <c r="W138" s="6"/>
      <c r="X138" s="6" t="s">
        <v>47</v>
      </c>
      <c r="Y138" s="6"/>
      <c r="Z138" s="6"/>
      <c r="AA138" s="6"/>
      <c r="AB138" s="6"/>
      <c r="AD138" s="6"/>
      <c r="AE138" s="16"/>
      <c r="AF138" t="str">
        <f t="shared" si="0"/>
        <v>ANO</v>
      </c>
    </row>
    <row r="139" spans="1:37">
      <c r="A139" s="6">
        <v>126</v>
      </c>
      <c r="B139" s="6" t="s">
        <v>1307</v>
      </c>
      <c r="C139" s="6" t="s">
        <v>1308</v>
      </c>
      <c r="D139" s="6" t="s">
        <v>1307</v>
      </c>
      <c r="E139" s="12" t="s">
        <v>1309</v>
      </c>
      <c r="F139" s="6" t="s">
        <v>73</v>
      </c>
      <c r="G139" s="11">
        <v>2005</v>
      </c>
      <c r="H139" s="6">
        <v>980</v>
      </c>
      <c r="I139" s="13" t="str">
        <f>HYPERLINK("http://www.chyse.com","http://www.chyse.com")</f>
        <v>http://www.chyse.com</v>
      </c>
      <c r="J139" s="13" t="str">
        <f>HYPERLINK("https://www.facebook.com/zamek.pivovar.chyse","https://www.facebook.com/zamek.pivovar.chyse")</f>
        <v>https://www.facebook.com/zamek.pivovar.chyse</v>
      </c>
      <c r="K139" s="6" t="s">
        <v>1310</v>
      </c>
      <c r="L139" s="6"/>
      <c r="M139" s="6" t="s">
        <v>1308</v>
      </c>
      <c r="N139" s="6"/>
      <c r="O139" s="6" t="s">
        <v>1311</v>
      </c>
      <c r="P139" s="6"/>
      <c r="Q139" s="6"/>
      <c r="R139" s="6" t="s">
        <v>1312</v>
      </c>
      <c r="S139" s="6">
        <v>50.105620000000002</v>
      </c>
      <c r="T139" s="6">
        <v>13.247598</v>
      </c>
      <c r="U139" s="6"/>
      <c r="V139" s="6"/>
      <c r="W139" s="6"/>
      <c r="X139" s="6"/>
      <c r="Y139" s="6"/>
      <c r="Z139" s="6"/>
      <c r="AA139" s="6"/>
      <c r="AB139" s="6"/>
      <c r="AD139" s="6"/>
      <c r="AE139" s="16"/>
      <c r="AF139" t="str">
        <f t="shared" si="0"/>
        <v/>
      </c>
    </row>
    <row r="140" spans="1:37">
      <c r="A140" s="6">
        <v>127</v>
      </c>
      <c r="B140" s="6" t="s">
        <v>1313</v>
      </c>
      <c r="C140" s="6" t="s">
        <v>1314</v>
      </c>
      <c r="D140" s="6" t="s">
        <v>1315</v>
      </c>
      <c r="E140" s="12" t="s">
        <v>1316</v>
      </c>
      <c r="F140" s="6" t="s">
        <v>57</v>
      </c>
      <c r="G140" s="11">
        <v>2012</v>
      </c>
      <c r="H140" s="6"/>
      <c r="I140" s="13" t="str">
        <f>HYPERLINK("http://www.pivovarpropper.cz","http://www.pivovarpropper.cz")</f>
        <v>http://www.pivovarpropper.cz</v>
      </c>
      <c r="J140" s="13" t="str">
        <f>HYPERLINK("https://www.facebook.com/pivovarpropper","https://www.facebook.com/pivovarpropper")</f>
        <v>https://www.facebook.com/pivovarpropper</v>
      </c>
      <c r="K140" s="6" t="s">
        <v>1318</v>
      </c>
      <c r="L140" s="6"/>
      <c r="M140" s="6" t="s">
        <v>1319</v>
      </c>
      <c r="N140" s="6"/>
      <c r="O140" s="6" t="s">
        <v>1320</v>
      </c>
      <c r="P140" s="6" t="s">
        <v>1314</v>
      </c>
      <c r="Q140" s="6"/>
      <c r="R140" s="6" t="s">
        <v>1321</v>
      </c>
      <c r="S140" s="6">
        <v>50.176298000000003</v>
      </c>
      <c r="T140" s="6">
        <v>15.741578000000001</v>
      </c>
      <c r="U140" s="6"/>
      <c r="V140" s="6"/>
      <c r="W140" s="6"/>
      <c r="X140" s="6" t="s">
        <v>47</v>
      </c>
      <c r="Y140" s="6" t="s">
        <v>47</v>
      </c>
      <c r="Z140" s="6" t="s">
        <v>47</v>
      </c>
      <c r="AA140" s="6" t="s">
        <v>47</v>
      </c>
      <c r="AB140" s="6"/>
      <c r="AD140" s="6"/>
      <c r="AE140" s="16"/>
      <c r="AF140" t="str">
        <f t="shared" si="0"/>
        <v>ANO</v>
      </c>
    </row>
    <row r="141" spans="1:37">
      <c r="A141" s="6">
        <v>128</v>
      </c>
      <c r="B141" s="6" t="s">
        <v>1322</v>
      </c>
      <c r="C141" s="6" t="s">
        <v>1323</v>
      </c>
      <c r="D141" s="6" t="s">
        <v>1324</v>
      </c>
      <c r="E141" s="12" t="s">
        <v>1325</v>
      </c>
      <c r="F141" s="6" t="s">
        <v>73</v>
      </c>
      <c r="G141" s="11">
        <v>2007</v>
      </c>
      <c r="H141" s="6">
        <v>1500</v>
      </c>
      <c r="I141" s="13" t="str">
        <f>HYPERLINK("http://www.purkmistr.cz","http://www.purkmistr.cz")</f>
        <v>http://www.purkmistr.cz</v>
      </c>
      <c r="J141" s="13" t="str">
        <f>HYPERLINK("https://www.facebook.com/pivovarskydvurplzen","https://www.facebook.com/pivovarskydvurplzen")</f>
        <v>https://www.facebook.com/pivovarskydvurplzen</v>
      </c>
      <c r="K141" s="6" t="s">
        <v>1328</v>
      </c>
      <c r="L141" s="6"/>
      <c r="M141" s="6" t="s">
        <v>1329</v>
      </c>
      <c r="N141" s="6"/>
      <c r="O141" s="6" t="s">
        <v>1330</v>
      </c>
      <c r="P141" s="6" t="s">
        <v>1021</v>
      </c>
      <c r="Q141" s="6"/>
      <c r="R141" s="6" t="s">
        <v>1331</v>
      </c>
      <c r="S141" s="6">
        <v>49.698838600000002</v>
      </c>
      <c r="T141" s="6">
        <v>13.4140406</v>
      </c>
      <c r="U141" s="6"/>
      <c r="V141" s="6"/>
      <c r="W141" s="6"/>
      <c r="X141" s="6"/>
      <c r="Y141" s="6" t="s">
        <v>47</v>
      </c>
      <c r="Z141" s="6"/>
      <c r="AA141" s="6"/>
      <c r="AB141" s="6"/>
      <c r="AD141" s="6"/>
      <c r="AE141" s="16"/>
      <c r="AF141" t="str">
        <f t="shared" si="0"/>
        <v>ANO</v>
      </c>
    </row>
    <row r="142" spans="1:37">
      <c r="A142" s="6">
        <v>129</v>
      </c>
      <c r="B142" s="6" t="s">
        <v>1332</v>
      </c>
      <c r="C142" s="6" t="s">
        <v>1333</v>
      </c>
      <c r="D142" s="6" t="s">
        <v>1136</v>
      </c>
      <c r="E142" s="12" t="s">
        <v>1334</v>
      </c>
      <c r="F142" s="6" t="s">
        <v>73</v>
      </c>
      <c r="G142" s="11">
        <v>2007</v>
      </c>
      <c r="H142" s="6"/>
      <c r="I142" s="13" t="str">
        <f>HYPERLINK("http://www.hobitclub.net","http://www.hobitclub.net")</f>
        <v>http://www.hobitclub.net</v>
      </c>
      <c r="J142" s="13" t="str">
        <f>HYPERLINK("https://www.facebook.com/Pivovarský-dům-353286041431824","https://www.facebook.com/Pivovarský-dům-353286041431824")</f>
        <v>https://www.facebook.com/Pivovarský-dům-353286041431824</v>
      </c>
      <c r="K142" s="6" t="s">
        <v>1336</v>
      </c>
      <c r="L142" s="6"/>
      <c r="M142" s="6"/>
      <c r="N142" s="6" t="s">
        <v>1337</v>
      </c>
      <c r="O142" s="6" t="s">
        <v>1338</v>
      </c>
      <c r="P142" s="6" t="s">
        <v>1339</v>
      </c>
      <c r="Q142" s="6"/>
      <c r="R142" s="6" t="s">
        <v>1340</v>
      </c>
      <c r="S142" s="6">
        <v>49.840019400000003</v>
      </c>
      <c r="T142" s="6">
        <v>18.2885217</v>
      </c>
      <c r="U142" s="6"/>
      <c r="V142" s="6" t="s">
        <v>47</v>
      </c>
      <c r="W142" s="6"/>
      <c r="X142" s="6" t="s">
        <v>47</v>
      </c>
      <c r="Y142" s="6" t="s">
        <v>47</v>
      </c>
      <c r="Z142" s="6" t="s">
        <v>47</v>
      </c>
      <c r="AA142" s="6" t="s">
        <v>47</v>
      </c>
      <c r="AB142" s="6" t="s">
        <v>47</v>
      </c>
      <c r="AD142" s="6" t="s">
        <v>47</v>
      </c>
      <c r="AE142" s="17" t="s">
        <v>47</v>
      </c>
      <c r="AF142" t="str">
        <f t="shared" si="0"/>
        <v>ANO</v>
      </c>
    </row>
    <row r="143" spans="1:37">
      <c r="A143" s="6">
        <v>130</v>
      </c>
      <c r="B143" s="6" t="s">
        <v>1342</v>
      </c>
      <c r="C143" s="6" t="s">
        <v>1343</v>
      </c>
      <c r="D143" s="6" t="s">
        <v>1344</v>
      </c>
      <c r="E143" s="12" t="s">
        <v>1345</v>
      </c>
      <c r="F143" s="6" t="s">
        <v>91</v>
      </c>
      <c r="G143" s="11">
        <v>1970</v>
      </c>
      <c r="H143" s="6">
        <v>1900000</v>
      </c>
      <c r="I143" s="13" t="str">
        <f>HYPERLINK("http://www.radegast.cz","http://www.radegast.cz")</f>
        <v>http://www.radegast.cz</v>
      </c>
      <c r="J143" s="13" t="str">
        <f>HYPERLINK("https://www.facebook.com/radegastCZ","https://www.facebook.com/radegastCZ")</f>
        <v>https://www.facebook.com/radegastCZ</v>
      </c>
      <c r="K143" s="6" t="s">
        <v>1347</v>
      </c>
      <c r="L143" s="6" t="s">
        <v>1219</v>
      </c>
      <c r="M143" s="6" t="s">
        <v>1220</v>
      </c>
      <c r="N143" s="6"/>
      <c r="O143" s="6" t="s">
        <v>1348</v>
      </c>
      <c r="P143" s="6"/>
      <c r="Q143" s="6"/>
      <c r="R143" s="6" t="s">
        <v>1349</v>
      </c>
      <c r="S143" s="6">
        <v>49.661669000000003</v>
      </c>
      <c r="T143" s="6">
        <v>18.428052999999899</v>
      </c>
      <c r="U143" s="6"/>
      <c r="V143" s="6"/>
      <c r="W143" s="6"/>
      <c r="X143" s="6"/>
      <c r="Y143" s="6"/>
      <c r="Z143" s="6"/>
      <c r="AA143" s="6"/>
      <c r="AB143" s="6"/>
      <c r="AD143" s="6"/>
      <c r="AE143" s="17" t="s">
        <v>47</v>
      </c>
      <c r="AF143" t="str">
        <f t="shared" si="0"/>
        <v>ANO</v>
      </c>
    </row>
    <row r="144" spans="1:37">
      <c r="A144" s="6">
        <v>131</v>
      </c>
      <c r="B144" s="6" t="s">
        <v>1350</v>
      </c>
      <c r="C144" s="6" t="s">
        <v>1351</v>
      </c>
      <c r="D144" s="6" t="s">
        <v>636</v>
      </c>
      <c r="E144" s="12" t="s">
        <v>1352</v>
      </c>
      <c r="F144" s="6" t="s">
        <v>73</v>
      </c>
      <c r="G144" s="11">
        <v>2011</v>
      </c>
      <c r="H144" s="6"/>
      <c r="I144" s="13" t="str">
        <f>HYPERLINK("http://www.radnicni-jihlava.cz","http://www.radnicni-jihlava.cz")</f>
        <v>http://www.radnicni-jihlava.cz</v>
      </c>
      <c r="J144" s="13" t="str">
        <f>HYPERLINK("https://www.facebook.com/radnicnirestauraceapivovar","https://www.facebook.com/radnicnirestauraceapivovar")</f>
        <v>https://www.facebook.com/radnicnirestauraceapivovar</v>
      </c>
      <c r="K144" s="6" t="s">
        <v>1354</v>
      </c>
      <c r="L144" s="6"/>
      <c r="M144" s="6" t="s">
        <v>1355</v>
      </c>
      <c r="N144" s="6" t="s">
        <v>1356</v>
      </c>
      <c r="O144" s="6" t="s">
        <v>1357</v>
      </c>
      <c r="P144" s="6" t="s">
        <v>1358</v>
      </c>
      <c r="Q144" s="6"/>
      <c r="R144" s="6" t="s">
        <v>1359</v>
      </c>
      <c r="S144" s="6">
        <v>49.396349999999998</v>
      </c>
      <c r="T144" s="6">
        <v>15.5909411</v>
      </c>
      <c r="U144" s="6"/>
      <c r="V144" s="6"/>
      <c r="W144" s="6" t="s">
        <v>47</v>
      </c>
      <c r="X144" s="6"/>
      <c r="Y144" s="6" t="s">
        <v>47</v>
      </c>
      <c r="Z144" s="6"/>
      <c r="AA144" s="6"/>
      <c r="AB144" s="6"/>
      <c r="AD144" s="6"/>
      <c r="AE144" s="17" t="s">
        <v>47</v>
      </c>
      <c r="AF144" t="str">
        <f t="shared" si="0"/>
        <v>ANO</v>
      </c>
    </row>
    <row r="145" spans="1:37">
      <c r="A145" s="6">
        <v>132</v>
      </c>
      <c r="B145" s="6" t="s">
        <v>1360</v>
      </c>
      <c r="C145" s="6" t="s">
        <v>1361</v>
      </c>
      <c r="D145" s="6" t="s">
        <v>1360</v>
      </c>
      <c r="E145" s="12" t="s">
        <v>1362</v>
      </c>
      <c r="F145" s="6" t="s">
        <v>57</v>
      </c>
      <c r="G145" s="11">
        <v>2012</v>
      </c>
      <c r="H145" s="6">
        <v>350</v>
      </c>
      <c r="I145" s="13" t="str">
        <f>HYPERLINK("https://www.pivovar-radnice.cz","https://www.pivovar-radnice.cz")</f>
        <v>https://www.pivovar-radnice.cz</v>
      </c>
      <c r="J145" s="13" t="str">
        <f>HYPERLINK("https://www.facebook.com/minipivovarRadnice","https://www.facebook.com/minipivovarRadnice")</f>
        <v>https://www.facebook.com/minipivovarRadnice</v>
      </c>
      <c r="K145" s="6" t="s">
        <v>1364</v>
      </c>
      <c r="L145" s="6"/>
      <c r="M145" s="6"/>
      <c r="N145" s="6"/>
      <c r="O145" s="6" t="s">
        <v>1365</v>
      </c>
      <c r="P145" s="6" t="s">
        <v>1366</v>
      </c>
      <c r="Q145" s="15" t="s">
        <v>1367</v>
      </c>
      <c r="R145" s="6" t="s">
        <v>1368</v>
      </c>
      <c r="S145" s="6">
        <v>49.8567769</v>
      </c>
      <c r="T145" s="6">
        <v>13.613334699999999</v>
      </c>
      <c r="U145" s="6"/>
      <c r="V145" s="6"/>
      <c r="W145" s="6"/>
      <c r="X145" s="6"/>
      <c r="Y145" s="6"/>
      <c r="Z145" s="6"/>
      <c r="AA145" s="6"/>
      <c r="AB145" s="6" t="s">
        <v>47</v>
      </c>
      <c r="AD145" s="6" t="s">
        <v>47</v>
      </c>
      <c r="AE145" s="17" t="s">
        <v>47</v>
      </c>
      <c r="AF145" t="str">
        <f t="shared" si="0"/>
        <v>ANO</v>
      </c>
    </row>
    <row r="146" spans="1:37">
      <c r="A146" s="6">
        <v>133</v>
      </c>
      <c r="B146" s="6" t="s">
        <v>1369</v>
      </c>
      <c r="C146" s="6" t="s">
        <v>1370</v>
      </c>
      <c r="D146" s="6" t="s">
        <v>1371</v>
      </c>
      <c r="E146" s="12" t="s">
        <v>1372</v>
      </c>
      <c r="F146" s="6" t="s">
        <v>38</v>
      </c>
      <c r="G146" s="11">
        <v>2008</v>
      </c>
      <c r="H146" s="6">
        <v>170</v>
      </c>
      <c r="I146" s="13" t="str">
        <f>HYPERLINK("http://pivovar.stahlavy.com","http://pivovar.stahlavy.com")</f>
        <v>http://pivovar.stahlavy.com</v>
      </c>
      <c r="J146" s="13" t="str">
        <f>HYPERLINK("https://www.facebook.com/PivovarRadous","https://www.facebook.com/PivovarRadous")</f>
        <v>https://www.facebook.com/PivovarRadous</v>
      </c>
      <c r="K146" s="6" t="s">
        <v>1373</v>
      </c>
      <c r="L146" s="6"/>
      <c r="M146" s="6"/>
      <c r="N146" s="6"/>
      <c r="O146" s="6" t="s">
        <v>1374</v>
      </c>
      <c r="P146" s="6"/>
      <c r="Q146" s="15" t="s">
        <v>1375</v>
      </c>
      <c r="R146" s="6" t="s">
        <v>1376</v>
      </c>
      <c r="S146" s="6">
        <v>49.675595000000001</v>
      </c>
      <c r="T146" s="6">
        <v>13.503830000000001</v>
      </c>
      <c r="U146" s="6"/>
      <c r="V146" s="6"/>
      <c r="W146" s="6"/>
      <c r="X146" s="6"/>
      <c r="Y146" s="6"/>
      <c r="Z146" s="6"/>
      <c r="AA146" s="6"/>
      <c r="AB146" s="6"/>
      <c r="AD146" s="6"/>
      <c r="AE146" s="16"/>
      <c r="AF146" t="str">
        <f t="shared" si="0"/>
        <v/>
      </c>
    </row>
    <row r="147" spans="1:37">
      <c r="A147" s="6">
        <v>134</v>
      </c>
      <c r="B147" s="6" t="s">
        <v>1377</v>
      </c>
      <c r="C147" s="6" t="s">
        <v>1378</v>
      </c>
      <c r="D147" s="6" t="s">
        <v>1377</v>
      </c>
      <c r="E147" s="12" t="s">
        <v>1379</v>
      </c>
      <c r="F147" s="6" t="s">
        <v>57</v>
      </c>
      <c r="G147" s="11">
        <v>2008</v>
      </c>
      <c r="H147" s="6">
        <v>2000</v>
      </c>
      <c r="I147" s="13" t="str">
        <f>HYPERLINK("http://www.pivovar-dobruska.cz","http://www.pivovar-dobruska.cz")</f>
        <v>http://www.pivovar-dobruska.cz</v>
      </c>
      <c r="J147" s="13" t="str">
        <f>HYPERLINK("https://www.facebook.com/pivovardobruska","https://www.facebook.com/pivovardobruska")</f>
        <v>https://www.facebook.com/pivovardobruska</v>
      </c>
      <c r="K147" s="6" t="s">
        <v>1380</v>
      </c>
      <c r="L147" s="6"/>
      <c r="M147" s="6" t="s">
        <v>1381</v>
      </c>
      <c r="N147" s="6"/>
      <c r="O147" s="6" t="s">
        <v>1382</v>
      </c>
      <c r="P147" s="6" t="s">
        <v>1383</v>
      </c>
      <c r="Q147" s="6" t="s">
        <v>1384</v>
      </c>
      <c r="R147" s="6" t="s">
        <v>1385</v>
      </c>
      <c r="S147" s="6">
        <v>50.294753999999898</v>
      </c>
      <c r="T147" s="6">
        <v>16.162222</v>
      </c>
      <c r="U147" s="6"/>
      <c r="V147" s="6"/>
      <c r="W147" s="6"/>
      <c r="X147" s="6" t="s">
        <v>47</v>
      </c>
      <c r="Y147" s="6"/>
      <c r="Z147" s="6" t="s">
        <v>47</v>
      </c>
      <c r="AA147" s="6" t="s">
        <v>47</v>
      </c>
      <c r="AB147" s="6"/>
      <c r="AD147" s="6"/>
      <c r="AE147" s="17" t="s">
        <v>47</v>
      </c>
      <c r="AF147" t="str">
        <f t="shared" si="0"/>
        <v>ANO</v>
      </c>
    </row>
    <row r="148" spans="1:37">
      <c r="A148" s="6">
        <v>135</v>
      </c>
      <c r="B148" s="6" t="s">
        <v>1386</v>
      </c>
      <c r="C148" s="6" t="s">
        <v>1387</v>
      </c>
      <c r="D148" s="6" t="s">
        <v>1386</v>
      </c>
      <c r="E148" s="12" t="s">
        <v>1388</v>
      </c>
      <c r="F148" s="6" t="s">
        <v>73</v>
      </c>
      <c r="G148" s="11">
        <v>2010</v>
      </c>
      <c r="H148" s="6">
        <v>180</v>
      </c>
      <c r="I148" s="13" t="str">
        <f>HYPERLINK("http://www.namlyne.com","http://www.namlyne.com")</f>
        <v>http://www.namlyne.com</v>
      </c>
      <c r="J148" s="13" t="str">
        <f>HYPERLINK("https://www.facebook.com/Ratíškovické-pivo-488598851198801","https://www.facebook.com/Ratíškovické-pivo-488598851198801")</f>
        <v>https://www.facebook.com/Ratíškovické-pivo-488598851198801</v>
      </c>
      <c r="K148" s="6" t="s">
        <v>1389</v>
      </c>
      <c r="L148" s="6"/>
      <c r="M148" s="6" t="s">
        <v>1390</v>
      </c>
      <c r="N148" s="6"/>
      <c r="O148" s="6" t="s">
        <v>1391</v>
      </c>
      <c r="P148" s="6" t="s">
        <v>1392</v>
      </c>
      <c r="Q148" s="15" t="s">
        <v>1393</v>
      </c>
      <c r="R148" s="6" t="s">
        <v>1394</v>
      </c>
      <c r="S148" s="6">
        <v>48.917852000000003</v>
      </c>
      <c r="T148" s="6">
        <v>17.160519000000001</v>
      </c>
      <c r="U148" s="6"/>
      <c r="V148" s="6"/>
      <c r="W148" s="6"/>
      <c r="X148" s="6" t="s">
        <v>47</v>
      </c>
      <c r="Y148" s="6"/>
      <c r="Z148" s="6"/>
      <c r="AA148" s="6"/>
      <c r="AB148" s="6" t="s">
        <v>47</v>
      </c>
      <c r="AD148" s="6" t="s">
        <v>47</v>
      </c>
      <c r="AE148" s="17" t="s">
        <v>47</v>
      </c>
      <c r="AF148" t="str">
        <f t="shared" si="0"/>
        <v>ANO</v>
      </c>
    </row>
    <row r="149" spans="1:37">
      <c r="A149" s="6">
        <v>136</v>
      </c>
      <c r="B149" s="6" t="s">
        <v>135</v>
      </c>
      <c r="C149" s="6" t="s">
        <v>1396</v>
      </c>
      <c r="D149" s="6" t="s">
        <v>135</v>
      </c>
      <c r="E149" s="12" t="s">
        <v>137</v>
      </c>
      <c r="F149" s="6" t="s">
        <v>91</v>
      </c>
      <c r="G149" s="11">
        <v>1834</v>
      </c>
      <c r="H149" s="6">
        <v>100500</v>
      </c>
      <c r="I149" s="13" t="str">
        <f>HYPERLINK("http://www.hbrebel.cz","http://www.hbrebel.cz")</f>
        <v>http://www.hbrebel.cz</v>
      </c>
      <c r="J149" s="13" t="str">
        <f>HYPERLINK("https://www.facebook.com/REBELpivo","https://www.facebook.com/REBELpivo")</f>
        <v>https://www.facebook.com/REBELpivo</v>
      </c>
      <c r="K149" s="6" t="s">
        <v>142</v>
      </c>
      <c r="L149" s="6"/>
      <c r="M149" s="6" t="s">
        <v>1397</v>
      </c>
      <c r="N149" s="6"/>
      <c r="O149" s="6" t="s">
        <v>1398</v>
      </c>
      <c r="P149" s="6" t="s">
        <v>1399</v>
      </c>
      <c r="Q149" s="6"/>
      <c r="R149" s="6" t="s">
        <v>1400</v>
      </c>
      <c r="S149" s="6">
        <v>49.610149</v>
      </c>
      <c r="T149" s="6">
        <v>15.576672</v>
      </c>
      <c r="U149" s="6"/>
      <c r="V149" s="6"/>
      <c r="W149" s="6"/>
      <c r="X149" s="6" t="s">
        <v>47</v>
      </c>
      <c r="Y149" s="6"/>
      <c r="Z149" s="6"/>
      <c r="AA149" s="6"/>
      <c r="AB149" s="6"/>
      <c r="AD149" s="6"/>
      <c r="AE149" s="16"/>
      <c r="AF149" t="str">
        <f t="shared" si="0"/>
        <v>ANO</v>
      </c>
    </row>
    <row r="150" spans="1:37">
      <c r="A150" s="6">
        <v>137</v>
      </c>
      <c r="B150" s="6" t="s">
        <v>1401</v>
      </c>
      <c r="C150" s="6" t="s">
        <v>1402</v>
      </c>
      <c r="D150" s="6" t="s">
        <v>1403</v>
      </c>
      <c r="E150" s="12" t="s">
        <v>1404</v>
      </c>
      <c r="F150" s="6" t="s">
        <v>91</v>
      </c>
      <c r="G150" s="11">
        <v>1379</v>
      </c>
      <c r="H150" s="6">
        <v>73200</v>
      </c>
      <c r="I150" s="13" t="str">
        <f>HYPERLINK("http://www.pivovar-regent.cz","http://www.pivovar-regent.cz")</f>
        <v>http://www.pivovar-regent.cz</v>
      </c>
      <c r="J150" s="13" t="str">
        <f>HYPERLINK("https://www.facebook.com/PivovarRegent","https://www.facebook.com/PivovarRegent")</f>
        <v>https://www.facebook.com/PivovarRegent</v>
      </c>
      <c r="K150" s="6" t="s">
        <v>1405</v>
      </c>
      <c r="L150" s="6"/>
      <c r="M150" s="6" t="s">
        <v>1406</v>
      </c>
      <c r="N150" s="6"/>
      <c r="O150" s="6" t="s">
        <v>1407</v>
      </c>
      <c r="P150" s="6"/>
      <c r="Q150" s="6"/>
      <c r="R150" s="6" t="s">
        <v>1408</v>
      </c>
      <c r="S150" s="6">
        <v>49.002453899999999</v>
      </c>
      <c r="T150" s="6">
        <v>14.772556099999999</v>
      </c>
      <c r="U150" s="6"/>
      <c r="V150" s="6"/>
      <c r="W150" s="6" t="s">
        <v>47</v>
      </c>
      <c r="X150" s="6"/>
      <c r="Y150" s="6"/>
      <c r="Z150" s="6"/>
      <c r="AA150" s="6"/>
      <c r="AB150" s="6"/>
      <c r="AD150" s="6"/>
      <c r="AE150" s="17" t="s">
        <v>47</v>
      </c>
      <c r="AF150" t="str">
        <f t="shared" si="0"/>
        <v>ANO</v>
      </c>
    </row>
    <row r="151" spans="1:37">
      <c r="A151" s="6">
        <v>138</v>
      </c>
      <c r="B151" s="6" t="s">
        <v>1410</v>
      </c>
      <c r="C151" s="6" t="s">
        <v>1411</v>
      </c>
      <c r="D151" s="6" t="s">
        <v>1412</v>
      </c>
      <c r="E151" s="12" t="s">
        <v>1413</v>
      </c>
      <c r="F151" s="6" t="s">
        <v>73</v>
      </c>
      <c r="G151" s="11">
        <v>2004</v>
      </c>
      <c r="H151" s="6">
        <v>2200</v>
      </c>
      <c r="I151" s="13" t="str">
        <f>HYPERLINK("http://www.pivo-richard.cz","http://www.pivo-richard.cz")</f>
        <v>http://www.pivo-richard.cz</v>
      </c>
      <c r="J151" s="13" t="str">
        <f>HYPERLINK("https://www.facebook.com/brnenskyminipivovarrichard","https://www.facebook.com/brnenskyminipivovarrichard")</f>
        <v>https://www.facebook.com/brnenskyminipivovarrichard</v>
      </c>
      <c r="K151" s="6" t="s">
        <v>1415</v>
      </c>
      <c r="L151" s="6"/>
      <c r="M151" s="6" t="s">
        <v>1416</v>
      </c>
      <c r="N151" s="6"/>
      <c r="O151" s="6" t="s">
        <v>1410</v>
      </c>
      <c r="P151" s="6"/>
      <c r="Q151" s="6"/>
      <c r="R151" s="6" t="s">
        <v>1417</v>
      </c>
      <c r="S151" s="6">
        <v>49.207391999999899</v>
      </c>
      <c r="T151" s="6">
        <v>16.483923999999899</v>
      </c>
      <c r="U151" s="6"/>
      <c r="V151" s="6"/>
      <c r="W151" s="6"/>
      <c r="X151" s="6" t="s">
        <v>47</v>
      </c>
      <c r="Y151" s="6"/>
      <c r="Z151" s="6"/>
      <c r="AA151" s="6"/>
      <c r="AB151" s="6"/>
      <c r="AD151" s="6"/>
      <c r="AE151" s="16"/>
      <c r="AF151" t="str">
        <f t="shared" si="0"/>
        <v>ANO</v>
      </c>
    </row>
    <row r="152" spans="1:37">
      <c r="A152" s="6">
        <v>139</v>
      </c>
      <c r="B152" s="6" t="s">
        <v>1418</v>
      </c>
      <c r="C152" s="6" t="s">
        <v>1419</v>
      </c>
      <c r="D152" s="6" t="s">
        <v>1420</v>
      </c>
      <c r="E152" s="12" t="s">
        <v>1421</v>
      </c>
      <c r="F152" s="6" t="s">
        <v>73</v>
      </c>
      <c r="G152" s="11">
        <v>2003</v>
      </c>
      <c r="H152" s="6">
        <v>300</v>
      </c>
      <c r="I152" s="13" t="str">
        <f>HYPERLINK("http://www.pivovarubulovky.cz","http://www.pivovarubulovky.cz")</f>
        <v>http://www.pivovarubulovky.cz</v>
      </c>
      <c r="J152" s="13" t="str">
        <f>HYPERLINK("https://www.facebook.com/pivovarubulovky","https://www.facebook.com/pivovarubulovky")</f>
        <v>https://www.facebook.com/pivovarubulovky</v>
      </c>
      <c r="K152" s="6" t="s">
        <v>1422</v>
      </c>
      <c r="L152" s="6"/>
      <c r="M152" s="6" t="s">
        <v>1423</v>
      </c>
      <c r="N152" s="6"/>
      <c r="O152" s="6" t="s">
        <v>1424</v>
      </c>
      <c r="P152" s="6" t="s">
        <v>1418</v>
      </c>
      <c r="Q152" s="6"/>
      <c r="R152" s="6" t="s">
        <v>1425</v>
      </c>
      <c r="S152" s="6">
        <v>50.115271700000001</v>
      </c>
      <c r="T152" s="6">
        <v>14.466290300000001</v>
      </c>
      <c r="U152" s="6"/>
      <c r="V152" s="6"/>
      <c r="W152" s="6"/>
      <c r="X152" s="6"/>
      <c r="Y152" s="6"/>
      <c r="Z152" s="6"/>
      <c r="AA152" s="6"/>
      <c r="AB152" s="6"/>
      <c r="AD152" s="6"/>
      <c r="AE152" s="17" t="s">
        <v>47</v>
      </c>
      <c r="AF152" t="str">
        <f t="shared" si="0"/>
        <v>ANO</v>
      </c>
    </row>
    <row r="153" spans="1:37">
      <c r="A153" s="6">
        <v>140</v>
      </c>
      <c r="B153" s="6" t="s">
        <v>1426</v>
      </c>
      <c r="C153" s="12" t="s">
        <v>1427</v>
      </c>
      <c r="D153" s="6" t="s">
        <v>1428</v>
      </c>
      <c r="E153" s="12" t="s">
        <v>1429</v>
      </c>
      <c r="F153" s="6" t="s">
        <v>73</v>
      </c>
      <c r="G153" s="11">
        <v>2010</v>
      </c>
      <c r="H153" s="6">
        <v>500</v>
      </c>
      <c r="I153" s="13" t="str">
        <f>HYPERLINK("http://www.ukomarku.cz","http://www.ukomarku.cz")</f>
        <v>http://www.ukomarku.cz</v>
      </c>
      <c r="J153" s="13" t="str">
        <f>HYPERLINK("https://www.facebook.com/RohovskyMinipivovar","https://www.facebook.com/RohovskyMinipivovar")</f>
        <v>https://www.facebook.com/RohovskyMinipivovar</v>
      </c>
      <c r="K153" s="6" t="s">
        <v>1430</v>
      </c>
      <c r="L153" s="6"/>
      <c r="M153" s="6" t="s">
        <v>1431</v>
      </c>
      <c r="N153" s="6"/>
      <c r="O153" s="6" t="s">
        <v>1426</v>
      </c>
      <c r="P153" s="6" t="s">
        <v>1432</v>
      </c>
      <c r="Q153" s="6"/>
      <c r="R153" s="6" t="s">
        <v>1433</v>
      </c>
      <c r="S153" s="6">
        <v>50.015324999999898</v>
      </c>
      <c r="T153" s="6">
        <v>18.073035999999899</v>
      </c>
      <c r="U153" s="6"/>
      <c r="V153" s="6"/>
      <c r="W153" s="6"/>
      <c r="X153" s="6"/>
      <c r="Y153" s="6"/>
      <c r="Z153" s="6"/>
      <c r="AA153" s="6"/>
      <c r="AB153" s="6"/>
      <c r="AC153" s="9" t="s">
        <v>47</v>
      </c>
      <c r="AD153" s="6"/>
      <c r="AE153" s="17" t="s">
        <v>47</v>
      </c>
      <c r="AF153" t="str">
        <f t="shared" si="0"/>
        <v>ANO</v>
      </c>
    </row>
    <row r="154" spans="1:37">
      <c r="A154" s="6">
        <v>141</v>
      </c>
      <c r="B154" s="6" t="s">
        <v>1434</v>
      </c>
      <c r="C154" s="6" t="s">
        <v>1435</v>
      </c>
      <c r="D154" s="6" t="s">
        <v>1436</v>
      </c>
      <c r="E154" s="12" t="s">
        <v>1437</v>
      </c>
      <c r="F154" s="6" t="s">
        <v>73</v>
      </c>
      <c r="G154" s="11">
        <v>2010</v>
      </c>
      <c r="H154" s="6">
        <v>1300</v>
      </c>
      <c r="I154" s="13" t="str">
        <f>HYPERLINK("http://roznovskepivo.cz","http://roznovskepivo.cz")</f>
        <v>http://roznovskepivo.cz</v>
      </c>
      <c r="J154" s="13" t="str">
        <f>HYPERLINK("https://www.facebook.com/roznovskepivnilazne","https://www.facebook.com/roznovskepivnilazne")</f>
        <v>https://www.facebook.com/roznovskepivnilazne</v>
      </c>
      <c r="K154" s="6" t="s">
        <v>1438</v>
      </c>
      <c r="L154" s="6"/>
      <c r="M154" s="6" t="s">
        <v>1439</v>
      </c>
      <c r="N154" s="6"/>
      <c r="O154" s="6" t="s">
        <v>1440</v>
      </c>
      <c r="P154" s="6"/>
      <c r="Q154" s="6"/>
      <c r="R154" s="6" t="s">
        <v>1441</v>
      </c>
      <c r="S154" s="6">
        <v>49.45673</v>
      </c>
      <c r="T154" s="6">
        <v>18.136837</v>
      </c>
      <c r="U154" s="6"/>
      <c r="V154" s="6"/>
      <c r="W154" s="6"/>
      <c r="X154" s="6"/>
      <c r="Y154" s="6" t="s">
        <v>47</v>
      </c>
      <c r="Z154" s="6"/>
      <c r="AA154" s="6"/>
      <c r="AB154" s="6"/>
      <c r="AD154" s="6"/>
      <c r="AE154" s="17" t="s">
        <v>47</v>
      </c>
      <c r="AF154" t="str">
        <f t="shared" si="0"/>
        <v>ANO</v>
      </c>
    </row>
    <row r="155" spans="1:37">
      <c r="A155" s="6">
        <v>142</v>
      </c>
      <c r="B155" s="6" t="s">
        <v>1442</v>
      </c>
      <c r="C155" s="6" t="s">
        <v>1443</v>
      </c>
      <c r="D155" s="6" t="s">
        <v>1444</v>
      </c>
      <c r="E155" s="12" t="s">
        <v>1445</v>
      </c>
      <c r="F155" s="6" t="s">
        <v>57</v>
      </c>
      <c r="G155" s="11">
        <v>2013</v>
      </c>
      <c r="H155" s="6">
        <v>200</v>
      </c>
      <c r="I155" s="13" t="str">
        <f>HYPERLINK("http://www.pivoruprenz.cz","http://www.pivoruprenz.cz")</f>
        <v>http://www.pivoruprenz.cz</v>
      </c>
      <c r="J155" s="13" t="str">
        <f>HYPERLINK("https://www.facebook.com/pivo.ruprenz","https://www.facebook.com/pivo.ruprenz")</f>
        <v>https://www.facebook.com/pivo.ruprenz</v>
      </c>
      <c r="K155" s="6" t="s">
        <v>1446</v>
      </c>
      <c r="L155" s="6"/>
      <c r="M155" s="6" t="s">
        <v>1447</v>
      </c>
      <c r="N155" s="6"/>
      <c r="O155" s="6" t="s">
        <v>1448</v>
      </c>
      <c r="P155" s="6"/>
      <c r="Q155" s="6"/>
      <c r="R155" s="6" t="s">
        <v>1449</v>
      </c>
      <c r="S155" s="6">
        <v>49.318480000000001</v>
      </c>
      <c r="T155" s="6">
        <v>15.645388000000001</v>
      </c>
      <c r="U155" s="6"/>
      <c r="V155" s="6"/>
      <c r="W155" s="6"/>
      <c r="X155" s="6"/>
      <c r="Y155" s="6"/>
      <c r="Z155" s="6"/>
      <c r="AA155" s="6" t="s">
        <v>47</v>
      </c>
      <c r="AB155" s="6"/>
      <c r="AD155" s="6"/>
      <c r="AE155" s="17" t="s">
        <v>47</v>
      </c>
      <c r="AF155" t="str">
        <f t="shared" si="0"/>
        <v>ANO</v>
      </c>
    </row>
    <row r="156" spans="1:37">
      <c r="A156" s="6">
        <v>143</v>
      </c>
      <c r="B156" s="6" t="s">
        <v>1450</v>
      </c>
      <c r="C156" s="6" t="s">
        <v>1451</v>
      </c>
      <c r="D156" s="6" t="s">
        <v>1450</v>
      </c>
      <c r="E156" s="12" t="s">
        <v>1452</v>
      </c>
      <c r="F156" s="6" t="s">
        <v>38</v>
      </c>
      <c r="G156" s="11">
        <v>2009</v>
      </c>
      <c r="H156" s="6">
        <v>2500</v>
      </c>
      <c r="I156" s="13" t="str">
        <f>HYPERLINK("http://www.pivovarrychnov.cz","http://www.pivovarrychnov.cz")</f>
        <v>http://www.pivovarrychnov.cz</v>
      </c>
      <c r="J156" s="13" t="str">
        <f>HYPERLINK("https://www.facebook.com/Městský-Podorlický-pivovar-sro-123787391139550","https://www.facebook.com/Městský-Podorlický-pivovar-sro-123787391139550")</f>
        <v>https://www.facebook.com/Městský-Podorlický-pivovar-sro-123787391139550</v>
      </c>
      <c r="K156" s="6" t="s">
        <v>1454</v>
      </c>
      <c r="L156" s="6"/>
      <c r="M156" s="6" t="s">
        <v>1455</v>
      </c>
      <c r="N156" s="6"/>
      <c r="O156" s="6" t="s">
        <v>1456</v>
      </c>
      <c r="P156" s="6" t="s">
        <v>1457</v>
      </c>
      <c r="Q156" s="15" t="s">
        <v>1458</v>
      </c>
      <c r="R156" s="6" t="s">
        <v>1459</v>
      </c>
      <c r="S156" s="6">
        <v>50.171570000000003</v>
      </c>
      <c r="T156" s="6">
        <v>16.278649999999899</v>
      </c>
      <c r="U156" s="6"/>
      <c r="V156" s="6"/>
      <c r="W156" s="6"/>
      <c r="X156" s="6" t="s">
        <v>47</v>
      </c>
      <c r="Y156" s="6" t="s">
        <v>47</v>
      </c>
      <c r="Z156" s="6" t="s">
        <v>47</v>
      </c>
      <c r="AA156" s="6" t="s">
        <v>47</v>
      </c>
      <c r="AB156" s="6" t="s">
        <v>47</v>
      </c>
      <c r="AC156" t="s">
        <v>47</v>
      </c>
      <c r="AD156" s="6"/>
      <c r="AE156" s="17" t="s">
        <v>47</v>
      </c>
      <c r="AF156" t="str">
        <f t="shared" si="0"/>
        <v>ANO</v>
      </c>
    </row>
    <row r="157" spans="1:37">
      <c r="A157" s="6">
        <v>144</v>
      </c>
      <c r="B157" s="6" t="s">
        <v>1460</v>
      </c>
      <c r="C157" s="6" t="s">
        <v>1461</v>
      </c>
      <c r="D157" s="6" t="s">
        <v>1462</v>
      </c>
      <c r="E157" s="12" t="s">
        <v>1463</v>
      </c>
      <c r="F157" s="6" t="s">
        <v>91</v>
      </c>
      <c r="G157" s="11">
        <v>1913</v>
      </c>
      <c r="H157" s="6">
        <v>80000</v>
      </c>
      <c r="I157" s="13" t="str">
        <f>HYPERLINK("http://www.rychtar.cz","http://www.rychtar.cz")</f>
        <v>http://www.rychtar.cz</v>
      </c>
      <c r="J157" s="13" t="str">
        <f>HYPERLINK("https://www.facebook.com/rychtarpivovar","https://www.facebook.com/rychtarpivovar")</f>
        <v>https://www.facebook.com/rychtarpivovar</v>
      </c>
      <c r="K157" s="6" t="s">
        <v>1464</v>
      </c>
      <c r="L157" s="6" t="s">
        <v>308</v>
      </c>
      <c r="M157" s="6" t="s">
        <v>1465</v>
      </c>
      <c r="N157" s="6"/>
      <c r="O157" s="6" t="s">
        <v>1466</v>
      </c>
      <c r="P157" s="6"/>
      <c r="Q157" s="6"/>
      <c r="R157" s="6" t="s">
        <v>1467</v>
      </c>
      <c r="S157" s="6">
        <v>49.7600219999999</v>
      </c>
      <c r="T157" s="6">
        <v>15.91494</v>
      </c>
      <c r="U157" s="6"/>
      <c r="V157" s="6"/>
      <c r="W157" s="6"/>
      <c r="X157" s="6"/>
      <c r="Y157" s="6"/>
      <c r="Z157" s="6"/>
      <c r="AA157" s="6"/>
      <c r="AB157" s="6"/>
      <c r="AD157" s="6"/>
      <c r="AE157" s="16"/>
      <c r="AF157" t="str">
        <f t="shared" si="0"/>
        <v/>
      </c>
    </row>
    <row r="158" spans="1:37">
      <c r="A158" s="6">
        <v>145</v>
      </c>
      <c r="B158" s="6" t="s">
        <v>1469</v>
      </c>
      <c r="C158" s="6" t="s">
        <v>1470</v>
      </c>
      <c r="D158" s="6" t="s">
        <v>298</v>
      </c>
      <c r="E158" s="12" t="s">
        <v>1471</v>
      </c>
      <c r="F158" s="6" t="s">
        <v>91</v>
      </c>
      <c r="G158" s="11">
        <v>1795</v>
      </c>
      <c r="H158" s="6">
        <v>155000</v>
      </c>
      <c r="I158" s="13" t="str">
        <f>HYPERLINK("http://www.samson.cz","http://www.samson.cz")</f>
        <v>http://www.samson.cz</v>
      </c>
      <c r="J158" s="15" t="s">
        <v>1472</v>
      </c>
      <c r="K158" s="6" t="s">
        <v>1473</v>
      </c>
      <c r="L158" s="6" t="s">
        <v>1474</v>
      </c>
      <c r="M158" s="6" t="s">
        <v>1475</v>
      </c>
      <c r="N158" s="6"/>
      <c r="O158" s="6" t="s">
        <v>1476</v>
      </c>
      <c r="P158" s="6"/>
      <c r="Q158" s="6"/>
      <c r="R158" s="6" t="s">
        <v>1477</v>
      </c>
      <c r="S158" s="6">
        <v>48.963971999999899</v>
      </c>
      <c r="T158" s="6">
        <v>14.4745919999999</v>
      </c>
      <c r="U158" s="6"/>
      <c r="V158" s="6"/>
      <c r="W158" s="6"/>
      <c r="X158" s="6"/>
      <c r="Y158" s="6"/>
      <c r="Z158" s="6"/>
      <c r="AA158" s="6"/>
      <c r="AB158" s="6"/>
      <c r="AD158" s="6"/>
      <c r="AE158" s="16"/>
      <c r="AF158" t="str">
        <f t="shared" si="0"/>
        <v/>
      </c>
    </row>
    <row r="159" spans="1:37">
      <c r="A159" s="19">
        <v>145</v>
      </c>
      <c r="B159" s="20" t="s">
        <v>1478</v>
      </c>
      <c r="C159" s="20" t="s">
        <v>1479</v>
      </c>
      <c r="D159" s="16" t="s">
        <v>208</v>
      </c>
      <c r="E159" s="23" t="s">
        <v>1480</v>
      </c>
      <c r="F159" s="20" t="s">
        <v>113</v>
      </c>
      <c r="G159" s="24">
        <v>2002.2016000000001</v>
      </c>
      <c r="H159" s="19">
        <v>92</v>
      </c>
      <c r="I159" s="16" t="s">
        <v>1481</v>
      </c>
      <c r="J159" s="20"/>
      <c r="K159" s="26" t="s">
        <v>1482</v>
      </c>
      <c r="L159" s="20"/>
      <c r="M159" s="20" t="s">
        <v>1483</v>
      </c>
      <c r="N159" s="20" t="s">
        <v>1484</v>
      </c>
      <c r="O159" s="16" t="s">
        <v>1485</v>
      </c>
      <c r="P159" s="20"/>
      <c r="Q159" s="20"/>
      <c r="R159" s="20" t="s">
        <v>1486</v>
      </c>
      <c r="S159" s="19">
        <v>50.208197200000001</v>
      </c>
      <c r="T159" s="19">
        <v>15.829007499999999</v>
      </c>
      <c r="U159" s="20"/>
      <c r="V159" s="20"/>
      <c r="W159" s="20"/>
      <c r="X159" s="20"/>
      <c r="Y159" s="20"/>
      <c r="Z159" s="20"/>
      <c r="AA159" s="20"/>
      <c r="AB159" s="20"/>
      <c r="AC159" s="20"/>
      <c r="AD159" s="20"/>
      <c r="AE159" s="20"/>
      <c r="AF159" t="str">
        <f t="shared" si="0"/>
        <v/>
      </c>
      <c r="AG159" s="20"/>
      <c r="AH159" s="20"/>
      <c r="AI159" s="20"/>
      <c r="AJ159" s="20"/>
      <c r="AK159" s="20"/>
    </row>
    <row r="160" spans="1:37">
      <c r="A160" s="6">
        <v>146</v>
      </c>
      <c r="B160" s="6" t="s">
        <v>1487</v>
      </c>
      <c r="C160" s="6" t="s">
        <v>1488</v>
      </c>
      <c r="D160" s="6" t="s">
        <v>1489</v>
      </c>
      <c r="E160" s="12" t="s">
        <v>1490</v>
      </c>
      <c r="F160" s="6" t="s">
        <v>57</v>
      </c>
      <c r="G160" s="11">
        <v>2010</v>
      </c>
      <c r="H160" s="6"/>
      <c r="I160" s="6"/>
      <c r="J160" s="6"/>
      <c r="K160" s="6" t="s">
        <v>1491</v>
      </c>
      <c r="L160" s="6"/>
      <c r="M160" s="6" t="s">
        <v>1492</v>
      </c>
      <c r="N160" s="6" t="s">
        <v>1493</v>
      </c>
      <c r="O160" s="6" t="s">
        <v>1487</v>
      </c>
      <c r="P160" s="6"/>
      <c r="Q160" s="6"/>
      <c r="R160" s="6" t="s">
        <v>1494</v>
      </c>
      <c r="S160" s="6">
        <v>49.153129999999997</v>
      </c>
      <c r="T160" s="6">
        <v>16.742492800000001</v>
      </c>
      <c r="U160" s="6"/>
      <c r="V160" s="6"/>
      <c r="W160" s="6"/>
      <c r="X160" s="6"/>
      <c r="Y160" s="6"/>
      <c r="Z160" s="6"/>
      <c r="AA160" s="6"/>
      <c r="AB160" s="6"/>
      <c r="AD160" s="6"/>
      <c r="AE160" s="16"/>
      <c r="AF160" t="str">
        <f t="shared" si="0"/>
        <v/>
      </c>
    </row>
    <row r="161" spans="1:32">
      <c r="A161" s="6">
        <v>147</v>
      </c>
      <c r="B161" s="6" t="s">
        <v>1495</v>
      </c>
      <c r="C161" s="6" t="s">
        <v>1496</v>
      </c>
      <c r="D161" s="6" t="s">
        <v>1497</v>
      </c>
      <c r="E161" s="12" t="s">
        <v>1498</v>
      </c>
      <c r="F161" s="6" t="s">
        <v>91</v>
      </c>
      <c r="G161" s="11">
        <v>1850</v>
      </c>
      <c r="H161" s="6">
        <v>70000</v>
      </c>
      <c r="I161" s="13" t="str">
        <f>HYPERLINK("http://www.pivorohozec.cz","http://www.pivorohozec.cz")</f>
        <v>http://www.pivorohozec.cz</v>
      </c>
      <c r="J161" s="13" t="str">
        <f>HYPERLINK("https://www.facebook.com/Pivovar-ROHOZEC-133415433434790","https://www.facebook.com/Pivovar-ROHOZEC-133415433434790")</f>
        <v>https://www.facebook.com/Pivovar-ROHOZEC-133415433434790</v>
      </c>
      <c r="K161" s="6" t="s">
        <v>1499</v>
      </c>
      <c r="L161" s="6" t="s">
        <v>1303</v>
      </c>
      <c r="M161" s="6" t="s">
        <v>1500</v>
      </c>
      <c r="N161" s="6"/>
      <c r="O161" s="6" t="s">
        <v>1501</v>
      </c>
      <c r="P161" s="6"/>
      <c r="Q161" s="6"/>
      <c r="R161" s="6" t="s">
        <v>1502</v>
      </c>
      <c r="S161" s="6">
        <v>50.610383300000002</v>
      </c>
      <c r="T161" s="6">
        <v>15.147456399999999</v>
      </c>
      <c r="U161" s="6"/>
      <c r="V161" s="6"/>
      <c r="W161" s="6"/>
      <c r="X161" s="6"/>
      <c r="Y161" s="6"/>
      <c r="Z161" s="6"/>
      <c r="AA161" s="6"/>
      <c r="AB161" s="6"/>
      <c r="AD161" s="6"/>
      <c r="AE161" s="16"/>
      <c r="AF161" t="str">
        <f t="shared" si="0"/>
        <v/>
      </c>
    </row>
    <row r="162" spans="1:32">
      <c r="A162" s="6">
        <v>148</v>
      </c>
      <c r="B162" s="6" t="s">
        <v>1503</v>
      </c>
      <c r="C162" s="6" t="s">
        <v>1504</v>
      </c>
      <c r="D162" s="6" t="s">
        <v>1505</v>
      </c>
      <c r="E162" s="12" t="s">
        <v>1506</v>
      </c>
      <c r="F162" s="6" t="s">
        <v>57</v>
      </c>
      <c r="G162" s="11">
        <v>2011</v>
      </c>
      <c r="H162" s="6"/>
      <c r="I162" s="13" t="str">
        <f>HYPERLINK("http://www.skreconskyzabak.cz","http://www.skreconskyzabak.cz")</f>
        <v>http://www.skreconskyzabak.cz</v>
      </c>
      <c r="J162" s="13" t="str">
        <f>HYPERLINK("https://www.facebook.com/SkreconskyZabak","https://www.facebook.com/SkreconskyZabak")</f>
        <v>https://www.facebook.com/SkreconskyZabak</v>
      </c>
      <c r="K162" s="6" t="s">
        <v>1507</v>
      </c>
      <c r="L162" s="6"/>
      <c r="M162" s="6" t="s">
        <v>1508</v>
      </c>
      <c r="N162" s="6"/>
      <c r="O162" s="6" t="s">
        <v>1503</v>
      </c>
      <c r="P162" s="6"/>
      <c r="Q162" s="6"/>
      <c r="R162" s="6" t="s">
        <v>1509</v>
      </c>
      <c r="S162" s="6">
        <v>49.899208000000002</v>
      </c>
      <c r="T162" s="6">
        <v>18.373721</v>
      </c>
      <c r="U162" s="6"/>
      <c r="V162" s="6"/>
      <c r="W162" s="6"/>
      <c r="X162" s="6"/>
      <c r="Y162" s="6"/>
      <c r="Z162" s="6"/>
      <c r="AA162" s="6"/>
      <c r="AB162" s="6"/>
      <c r="AD162" s="6"/>
      <c r="AE162" s="17" t="s">
        <v>47</v>
      </c>
      <c r="AF162" t="str">
        <f t="shared" si="0"/>
        <v>ANO</v>
      </c>
    </row>
    <row r="163" spans="1:32">
      <c r="A163" s="6">
        <v>149</v>
      </c>
      <c r="B163" s="6" t="s">
        <v>1510</v>
      </c>
      <c r="C163" s="6" t="s">
        <v>1511</v>
      </c>
      <c r="D163" s="6" t="s">
        <v>1512</v>
      </c>
      <c r="E163" s="12" t="s">
        <v>1513</v>
      </c>
      <c r="F163" s="6" t="s">
        <v>73</v>
      </c>
      <c r="G163" s="11">
        <v>2013</v>
      </c>
      <c r="H163" s="6">
        <v>4000</v>
      </c>
      <c r="I163" s="13" t="str">
        <f>HYPERLINK("http://www.slavkovskypivovar.cz","http://www.slavkovskypivovar.cz")</f>
        <v>http://www.slavkovskypivovar.cz</v>
      </c>
      <c r="J163" s="13" t="str">
        <f>HYPERLINK("https://www.facebook.com/Slavkovský-pivovar-680032415395044","https://www.facebook.com/Slavkovský-pivovar-680032415395044")</f>
        <v>https://www.facebook.com/Slavkovský-pivovar-680032415395044</v>
      </c>
      <c r="K163" s="6" t="s">
        <v>1515</v>
      </c>
      <c r="L163" s="6"/>
      <c r="M163" s="6" t="s">
        <v>1516</v>
      </c>
      <c r="N163" s="6"/>
      <c r="O163" s="6" t="s">
        <v>1517</v>
      </c>
      <c r="P163" s="6"/>
      <c r="Q163" s="15" t="s">
        <v>1518</v>
      </c>
      <c r="R163" s="6" t="s">
        <v>1519</v>
      </c>
      <c r="S163" s="6">
        <v>49.149653000000001</v>
      </c>
      <c r="T163" s="6">
        <v>16.888725999999899</v>
      </c>
      <c r="U163" s="6"/>
      <c r="V163" s="6"/>
      <c r="W163" s="6"/>
      <c r="X163" s="6"/>
      <c r="Y163" s="6"/>
      <c r="Z163" s="6"/>
      <c r="AA163" s="6"/>
      <c r="AB163" s="6" t="s">
        <v>47</v>
      </c>
      <c r="AD163" s="6"/>
      <c r="AE163" s="16"/>
      <c r="AF163" t="str">
        <f t="shared" si="0"/>
        <v>ANO</v>
      </c>
    </row>
    <row r="164" spans="1:32">
      <c r="A164" s="6">
        <v>150</v>
      </c>
      <c r="B164" s="6" t="s">
        <v>1521</v>
      </c>
      <c r="C164" s="6" t="s">
        <v>1522</v>
      </c>
      <c r="D164" s="6" t="s">
        <v>1523</v>
      </c>
      <c r="E164" s="12" t="s">
        <v>1524</v>
      </c>
      <c r="F164" s="6" t="s">
        <v>57</v>
      </c>
      <c r="G164" s="11">
        <v>2011</v>
      </c>
      <c r="H164" s="6">
        <v>70</v>
      </c>
      <c r="I164" s="13" t="str">
        <f>HYPERLINK("http://www.minipivovar-ujkovice.cz","http://www.minipivovar-ujkovice.cz")</f>
        <v>http://www.minipivovar-ujkovice.cz</v>
      </c>
      <c r="J164" s="13" t="str">
        <f>HYPERLINK("https://www.facebook.com/minipivovar.ujkovice","https://www.facebook.com/minipivovar.ujkovice")</f>
        <v>https://www.facebook.com/minipivovar.ujkovice</v>
      </c>
      <c r="K164" s="6" t="s">
        <v>1526</v>
      </c>
      <c r="L164" s="6"/>
      <c r="M164" s="6" t="s">
        <v>1527</v>
      </c>
      <c r="N164" s="6"/>
      <c r="O164" s="6" t="s">
        <v>1521</v>
      </c>
      <c r="P164" s="6"/>
      <c r="Q164" s="6"/>
      <c r="R164" s="6" t="s">
        <v>1528</v>
      </c>
      <c r="S164" s="6">
        <v>50.362538000000001</v>
      </c>
      <c r="T164" s="6">
        <v>15.09582</v>
      </c>
      <c r="U164" s="6"/>
      <c r="V164" s="6"/>
      <c r="W164" s="6"/>
      <c r="X164" s="6"/>
      <c r="Y164" s="6"/>
      <c r="Z164" s="6"/>
      <c r="AA164" s="6"/>
      <c r="AB164" s="6"/>
      <c r="AD164" s="6"/>
      <c r="AE164" s="16"/>
      <c r="AF164" t="str">
        <f t="shared" si="0"/>
        <v/>
      </c>
    </row>
    <row r="165" spans="1:32">
      <c r="A165" s="6">
        <v>151</v>
      </c>
      <c r="B165" s="6" t="s">
        <v>1529</v>
      </c>
      <c r="C165" s="6" t="s">
        <v>1530</v>
      </c>
      <c r="D165" s="6" t="s">
        <v>1531</v>
      </c>
      <c r="E165" s="12" t="s">
        <v>1531</v>
      </c>
      <c r="F165" s="6" t="s">
        <v>38</v>
      </c>
      <c r="G165" s="11">
        <v>2006</v>
      </c>
      <c r="H165" s="6">
        <v>500</v>
      </c>
      <c r="I165" s="13" t="str">
        <f>HYPERLINK("http://www.pivovarslezan.cz","http://www.pivovarslezan.cz")</f>
        <v>http://www.pivovarslezan.cz</v>
      </c>
      <c r="J165" s="13" t="str">
        <f>HYPERLINK("https://www.facebook.com/pivovarslezan.cz","https://www.facebook.com/pivovarslezan.cz")</f>
        <v>https://www.facebook.com/pivovarslezan.cz</v>
      </c>
      <c r="K165" s="6" t="s">
        <v>1532</v>
      </c>
      <c r="L165" s="6"/>
      <c r="M165" s="6" t="s">
        <v>1533</v>
      </c>
      <c r="N165" s="6"/>
      <c r="O165" s="6" t="s">
        <v>1529</v>
      </c>
      <c r="P165" s="6"/>
      <c r="Q165" s="15" t="s">
        <v>1534</v>
      </c>
      <c r="R165" s="6" t="s">
        <v>1536</v>
      </c>
      <c r="S165" s="6">
        <v>49.784476099999999</v>
      </c>
      <c r="T165" s="6">
        <v>17.9138375</v>
      </c>
      <c r="U165" s="6"/>
      <c r="V165" s="6"/>
      <c r="W165" s="6"/>
      <c r="X165" s="6"/>
      <c r="Y165" s="6"/>
      <c r="Z165" s="6" t="s">
        <v>47</v>
      </c>
      <c r="AA165" s="6"/>
      <c r="AB165" s="6" t="s">
        <v>47</v>
      </c>
      <c r="AD165" s="6"/>
      <c r="AE165" s="17" t="s">
        <v>47</v>
      </c>
      <c r="AF165" t="str">
        <f t="shared" si="0"/>
        <v>ANO</v>
      </c>
    </row>
    <row r="166" spans="1:32">
      <c r="A166" s="6">
        <v>152</v>
      </c>
      <c r="B166" s="6" t="s">
        <v>1537</v>
      </c>
      <c r="C166" s="6" t="s">
        <v>1538</v>
      </c>
      <c r="D166" s="6" t="s">
        <v>1539</v>
      </c>
      <c r="E166" s="12" t="s">
        <v>1540</v>
      </c>
      <c r="F166" s="6" t="s">
        <v>91</v>
      </c>
      <c r="G166" s="11">
        <v>1872</v>
      </c>
      <c r="H166" s="6">
        <v>930000</v>
      </c>
      <c r="I166" s="13" t="str">
        <f>HYPERLINK("http://www.starobrno.cz","http://www.starobrno.cz")</f>
        <v>http://www.starobrno.cz</v>
      </c>
      <c r="J166" s="13" t="str">
        <f>HYPERLINK("https://www.facebook.com/pivostarobrno","https://www.facebook.com/pivostarobrno")</f>
        <v>https://www.facebook.com/pivostarobrno</v>
      </c>
      <c r="K166" s="6" t="s">
        <v>1541</v>
      </c>
      <c r="L166" s="6" t="s">
        <v>291</v>
      </c>
      <c r="M166" s="6" t="s">
        <v>1542</v>
      </c>
      <c r="N166" s="6"/>
      <c r="O166" s="6" t="s">
        <v>1543</v>
      </c>
      <c r="P166" s="6"/>
      <c r="Q166" s="6"/>
      <c r="R166" s="6" t="s">
        <v>1544</v>
      </c>
      <c r="S166" s="6">
        <v>49.191028000000003</v>
      </c>
      <c r="T166" s="6">
        <v>16.591764000000001</v>
      </c>
      <c r="U166" s="6"/>
      <c r="V166" s="6"/>
      <c r="W166" s="6"/>
      <c r="X166" s="6"/>
      <c r="Y166" s="6"/>
      <c r="Z166" s="6"/>
      <c r="AA166" s="6"/>
      <c r="AB166" s="6"/>
      <c r="AD166" s="6"/>
      <c r="AE166" s="16"/>
      <c r="AF166" t="str">
        <f t="shared" si="0"/>
        <v/>
      </c>
    </row>
    <row r="167" spans="1:32">
      <c r="A167" s="6">
        <v>153</v>
      </c>
      <c r="B167" s="6" t="s">
        <v>1545</v>
      </c>
      <c r="C167" s="6" t="s">
        <v>1546</v>
      </c>
      <c r="D167" s="6" t="s">
        <v>72</v>
      </c>
      <c r="E167" s="12" t="s">
        <v>1547</v>
      </c>
      <c r="F167" s="6" t="s">
        <v>73</v>
      </c>
      <c r="G167" s="11">
        <v>2009</v>
      </c>
      <c r="H167" s="6">
        <v>900</v>
      </c>
      <c r="I167" s="13" t="str">
        <f>HYPERLINK("http://www.starokladno.cz","http://www.starokladno.cz")</f>
        <v>http://www.starokladno.cz</v>
      </c>
      <c r="J167" s="13" t="str">
        <f>HYPERLINK("https://www.facebook.com/Starokladno","https://www.facebook.com/Starokladno")</f>
        <v>https://www.facebook.com/Starokladno</v>
      </c>
      <c r="K167" s="6" t="s">
        <v>1548</v>
      </c>
      <c r="L167" s="6"/>
      <c r="M167" s="6" t="s">
        <v>1549</v>
      </c>
      <c r="N167" s="6"/>
      <c r="O167" s="6" t="s">
        <v>1550</v>
      </c>
      <c r="P167" s="6" t="s">
        <v>1551</v>
      </c>
      <c r="Q167" s="15" t="s">
        <v>1552</v>
      </c>
      <c r="R167" s="6" t="s">
        <v>1553</v>
      </c>
      <c r="S167" s="6">
        <v>50.144919700000003</v>
      </c>
      <c r="T167" s="6">
        <v>14.0924394</v>
      </c>
      <c r="U167" s="6"/>
      <c r="V167" s="6"/>
      <c r="W167" s="6"/>
      <c r="X167" s="6"/>
      <c r="Y167" s="6"/>
      <c r="Z167" s="6"/>
      <c r="AA167" s="6" t="s">
        <v>47</v>
      </c>
      <c r="AB167" s="6"/>
      <c r="AD167" s="6" t="s">
        <v>47</v>
      </c>
      <c r="AE167" s="17" t="s">
        <v>47</v>
      </c>
      <c r="AF167" t="str">
        <f t="shared" si="0"/>
        <v>ANO</v>
      </c>
    </row>
    <row r="168" spans="1:32">
      <c r="A168" s="6">
        <v>154</v>
      </c>
      <c r="B168" s="6" t="s">
        <v>1554</v>
      </c>
      <c r="C168" s="6" t="s">
        <v>1555</v>
      </c>
      <c r="D168" s="6" t="s">
        <v>1556</v>
      </c>
      <c r="E168" s="12" t="s">
        <v>1557</v>
      </c>
      <c r="F168" s="6" t="s">
        <v>91</v>
      </c>
      <c r="G168" s="11">
        <v>1869</v>
      </c>
      <c r="H168" s="6">
        <v>2840000</v>
      </c>
      <c r="I168" s="13" t="str">
        <f>HYPERLINK("http://www.staropramen.cz","http://www.staropramen.cz")</f>
        <v>http://www.staropramen.cz</v>
      </c>
      <c r="J168" s="13" t="str">
        <f>HYPERLINK("https://www.facebook.com/Staropramen","https://www.facebook.com/Staropramen")</f>
        <v>https://www.facebook.com/Staropramen</v>
      </c>
      <c r="K168" s="6" t="s">
        <v>1558</v>
      </c>
      <c r="L168" s="6" t="s">
        <v>1559</v>
      </c>
      <c r="M168" s="6" t="s">
        <v>281</v>
      </c>
      <c r="N168" s="6"/>
      <c r="O168" s="6" t="s">
        <v>1560</v>
      </c>
      <c r="P168" s="6"/>
      <c r="Q168" s="6"/>
      <c r="R168" s="6" t="s">
        <v>1561</v>
      </c>
      <c r="S168" s="28">
        <v>50.068615600000001</v>
      </c>
      <c r="T168" s="28">
        <v>14.4075653</v>
      </c>
      <c r="U168" s="6"/>
      <c r="V168" s="6"/>
      <c r="W168" s="6"/>
      <c r="X168" s="6"/>
      <c r="Y168" s="6"/>
      <c r="Z168" s="6"/>
      <c r="AA168" s="6"/>
      <c r="AB168" s="6"/>
      <c r="AD168" s="6"/>
      <c r="AE168" s="16"/>
      <c r="AF168" t="str">
        <f t="shared" si="0"/>
        <v/>
      </c>
    </row>
    <row r="169" spans="1:32">
      <c r="A169" s="6">
        <v>155</v>
      </c>
      <c r="B169" s="6" t="s">
        <v>1562</v>
      </c>
      <c r="C169" s="6" t="s">
        <v>1563</v>
      </c>
      <c r="D169" s="6" t="s">
        <v>1453</v>
      </c>
      <c r="E169" s="12" t="s">
        <v>1564</v>
      </c>
      <c r="F169" s="6" t="s">
        <v>38</v>
      </c>
      <c r="G169" s="11">
        <v>2011</v>
      </c>
      <c r="H169" s="6"/>
      <c r="I169" s="13" t="str">
        <f>HYPERLINK("http://www.ustocesu.cz","http://www.ustocesu.cz")</f>
        <v>http://www.ustocesu.cz</v>
      </c>
      <c r="J169" s="13" t="str">
        <f>HYPERLINK("https://www.facebook.com/ustocesu","https://www.facebook.com/ustocesu")</f>
        <v>https://www.facebook.com/ustocesu</v>
      </c>
      <c r="K169" s="6" t="s">
        <v>1566</v>
      </c>
      <c r="L169" s="6"/>
      <c r="M169" s="6" t="s">
        <v>1567</v>
      </c>
      <c r="N169" s="6"/>
      <c r="O169" s="6" t="s">
        <v>1568</v>
      </c>
      <c r="P169" s="6" t="s">
        <v>1569</v>
      </c>
      <c r="Q169" s="15" t="s">
        <v>1570</v>
      </c>
      <c r="R169" s="6" t="s">
        <v>1571</v>
      </c>
      <c r="S169" s="6">
        <v>49.738072000000003</v>
      </c>
      <c r="T169" s="6">
        <v>13.585100000000001</v>
      </c>
      <c r="U169" s="6"/>
      <c r="V169" s="6"/>
      <c r="W169" s="6"/>
      <c r="X169" s="6"/>
      <c r="Y169" s="6"/>
      <c r="Z169" s="6"/>
      <c r="AA169" s="6"/>
      <c r="AB169" s="6" t="s">
        <v>47</v>
      </c>
      <c r="AD169" s="6"/>
      <c r="AE169" s="16"/>
      <c r="AF169" t="str">
        <f t="shared" si="0"/>
        <v>ANO</v>
      </c>
    </row>
    <row r="170" spans="1:32">
      <c r="A170" s="6">
        <v>156</v>
      </c>
      <c r="B170" s="6" t="s">
        <v>1572</v>
      </c>
      <c r="C170" s="6" t="s">
        <v>1573</v>
      </c>
      <c r="D170" s="6" t="s">
        <v>1574</v>
      </c>
      <c r="E170" s="12" t="s">
        <v>1575</v>
      </c>
      <c r="F170" s="6" t="s">
        <v>38</v>
      </c>
      <c r="G170" s="11">
        <v>2010</v>
      </c>
      <c r="H170" s="6">
        <v>60</v>
      </c>
      <c r="I170" s="13" t="str">
        <f>HYPERLINK("http://www.minipivovar.eu","http://www.minipivovar.eu")</f>
        <v>http://www.minipivovar.eu</v>
      </c>
      <c r="J170" s="6"/>
      <c r="K170" s="6" t="s">
        <v>1576</v>
      </c>
      <c r="L170" s="6"/>
      <c r="M170" s="6" t="s">
        <v>1577</v>
      </c>
      <c r="N170" s="6"/>
      <c r="O170" s="6" t="s">
        <v>1578</v>
      </c>
      <c r="P170" s="6"/>
      <c r="Q170" s="6"/>
      <c r="R170" s="6" t="s">
        <v>1579</v>
      </c>
      <c r="S170" s="6">
        <v>50.810620999999898</v>
      </c>
      <c r="T170" s="6">
        <v>15.0315449999999</v>
      </c>
      <c r="U170" s="6"/>
      <c r="V170" s="6"/>
      <c r="W170" s="6"/>
      <c r="X170" s="6"/>
      <c r="Y170" s="6"/>
      <c r="Z170" s="6"/>
      <c r="AA170" s="6"/>
      <c r="AB170" s="6"/>
      <c r="AD170" s="6"/>
      <c r="AE170" s="16"/>
      <c r="AF170" t="str">
        <f t="shared" si="0"/>
        <v/>
      </c>
    </row>
    <row r="171" spans="1:32">
      <c r="A171" s="6">
        <v>157</v>
      </c>
      <c r="B171" s="6" t="s">
        <v>1581</v>
      </c>
      <c r="C171" s="6" t="s">
        <v>1582</v>
      </c>
      <c r="D171" s="6" t="s">
        <v>1583</v>
      </c>
      <c r="E171" s="12" t="s">
        <v>1584</v>
      </c>
      <c r="F171" s="6" t="s">
        <v>73</v>
      </c>
      <c r="G171" s="11">
        <v>2001</v>
      </c>
      <c r="H171" s="6">
        <v>1400</v>
      </c>
      <c r="I171" s="13" t="str">
        <f>HYPERLINK("http://www.klasterni-pivovar.cz","http://www.klasterni-pivovar.cz")</f>
        <v>http://www.klasterni-pivovar.cz</v>
      </c>
      <c r="J171" s="13" t="str">
        <f>HYPERLINK("https://www.facebook.com/KlasterniPivovarStrahovARestauraceSvatyNorbert","https://www.facebook.com/KlasterniPivovarStrahovARestauraceSvatyNorbert")</f>
        <v>https://www.facebook.com/KlasterniPivovarStrahovARestauraceSvatyNorbert</v>
      </c>
      <c r="K171" s="6" t="s">
        <v>1585</v>
      </c>
      <c r="L171" s="6"/>
      <c r="M171" s="6" t="s">
        <v>1586</v>
      </c>
      <c r="N171" s="6"/>
      <c r="O171" s="6" t="s">
        <v>1587</v>
      </c>
      <c r="P171" s="6"/>
      <c r="Q171" s="6"/>
      <c r="R171" s="6" t="s">
        <v>1588</v>
      </c>
      <c r="S171" s="6">
        <v>50.086879699999997</v>
      </c>
      <c r="T171" s="6">
        <v>14.3885033</v>
      </c>
      <c r="U171" s="6"/>
      <c r="V171" s="6"/>
      <c r="W171" s="6"/>
      <c r="X171" s="6"/>
      <c r="Y171" s="6"/>
      <c r="Z171" s="6"/>
      <c r="AA171" s="6"/>
      <c r="AB171" s="6"/>
      <c r="AD171" s="6"/>
      <c r="AE171" s="16"/>
      <c r="AF171" t="str">
        <f t="shared" si="0"/>
        <v/>
      </c>
    </row>
    <row r="172" spans="1:32">
      <c r="A172" s="6">
        <v>158</v>
      </c>
      <c r="B172" s="6" t="s">
        <v>1590</v>
      </c>
      <c r="C172" s="6" t="s">
        <v>1591</v>
      </c>
      <c r="D172" s="6" t="s">
        <v>1592</v>
      </c>
      <c r="E172" s="12" t="s">
        <v>1593</v>
      </c>
      <c r="F172" s="6" t="s">
        <v>57</v>
      </c>
      <c r="G172" s="11">
        <v>2012</v>
      </c>
      <c r="H172" s="6">
        <v>120</v>
      </c>
      <c r="I172" s="13" t="str">
        <f>HYPERLINK("http://svatokopeckepivo.cz","http://svatokopeckepivo.cz")</f>
        <v>http://svatokopeckepivo.cz</v>
      </c>
      <c r="J172" s="13" t="str">
        <f>HYPERLINK("https://www.facebook.com/svatokopeckepivo","https://www.facebook.com/svatokopeckepivo")</f>
        <v>https://www.facebook.com/svatokopeckepivo</v>
      </c>
      <c r="K172" s="6" t="s">
        <v>1594</v>
      </c>
      <c r="L172" s="6"/>
      <c r="M172" s="6" t="s">
        <v>1591</v>
      </c>
      <c r="N172" s="6"/>
      <c r="O172" s="6" t="s">
        <v>1595</v>
      </c>
      <c r="P172" s="6"/>
      <c r="Q172" s="6"/>
      <c r="R172" s="6" t="s">
        <v>1596</v>
      </c>
      <c r="S172" s="6">
        <v>49.630592200000002</v>
      </c>
      <c r="T172" s="6">
        <v>17.339038899999998</v>
      </c>
      <c r="U172" s="6"/>
      <c r="V172" s="6"/>
      <c r="W172" s="6"/>
      <c r="X172" s="6"/>
      <c r="Y172" s="6"/>
      <c r="Z172" s="6"/>
      <c r="AA172" s="6"/>
      <c r="AB172" s="6"/>
      <c r="AD172" s="6"/>
      <c r="AE172" s="16"/>
      <c r="AF172" t="str">
        <f t="shared" si="0"/>
        <v/>
      </c>
    </row>
    <row r="173" spans="1:32">
      <c r="A173" s="6">
        <v>159</v>
      </c>
      <c r="B173" s="6" t="s">
        <v>1597</v>
      </c>
      <c r="C173" s="6" t="s">
        <v>1598</v>
      </c>
      <c r="D173" s="6" t="s">
        <v>1034</v>
      </c>
      <c r="E173" s="12" t="s">
        <v>1599</v>
      </c>
      <c r="F173" s="6" t="s">
        <v>73</v>
      </c>
      <c r="G173" s="18" t="s">
        <v>1600</v>
      </c>
      <c r="H173" s="6">
        <v>860</v>
      </c>
      <c r="I173" s="13" t="str">
        <f>HYPERLINK("http://www.svatovaclavsky-pivovar.cz","http://www.svatovaclavsky-pivovar.cz")</f>
        <v>http://www.svatovaclavsky-pivovar.cz</v>
      </c>
      <c r="J173" s="6"/>
      <c r="K173" s="6" t="s">
        <v>1601</v>
      </c>
      <c r="L173" s="6"/>
      <c r="M173" s="6" t="s">
        <v>1602</v>
      </c>
      <c r="N173" s="6" t="s">
        <v>1603</v>
      </c>
      <c r="O173" s="6" t="s">
        <v>1604</v>
      </c>
      <c r="P173" s="6"/>
      <c r="Q173" s="6"/>
      <c r="R173" s="6" t="s">
        <v>1605</v>
      </c>
      <c r="S173" s="6">
        <v>49.595866999999899</v>
      </c>
      <c r="T173" s="6">
        <v>17.258710000000001</v>
      </c>
      <c r="U173" s="6"/>
      <c r="V173" s="6"/>
      <c r="W173" s="6" t="s">
        <v>47</v>
      </c>
      <c r="X173" s="6" t="s">
        <v>47</v>
      </c>
      <c r="Y173" s="6"/>
      <c r="Z173" s="6" t="s">
        <v>47</v>
      </c>
      <c r="AA173" s="6"/>
      <c r="AB173" s="6"/>
      <c r="AD173" s="6"/>
      <c r="AE173" s="17" t="s">
        <v>47</v>
      </c>
      <c r="AF173" t="str">
        <f t="shared" si="0"/>
        <v>ANO</v>
      </c>
    </row>
    <row r="174" spans="1:32">
      <c r="A174" s="6">
        <v>160</v>
      </c>
      <c r="B174" s="6" t="s">
        <v>1606</v>
      </c>
      <c r="C174" s="6" t="s">
        <v>1607</v>
      </c>
      <c r="D174" s="6" t="s">
        <v>1267</v>
      </c>
      <c r="E174" s="12" t="s">
        <v>1609</v>
      </c>
      <c r="F174" s="6" t="s">
        <v>73</v>
      </c>
      <c r="G174" s="11">
        <v>2004</v>
      </c>
      <c r="H174" s="6">
        <v>500</v>
      </c>
      <c r="I174" s="13" t="str">
        <f>HYPERLINK("http://www.pivovar-lipnik.cz","http://www.pivovar-lipnik.cz")</f>
        <v>http://www.pivovar-lipnik.cz</v>
      </c>
      <c r="J174" s="13" t="str">
        <f>HYPERLINK("https://www.facebook.com/PivovarLipnik","https://www.facebook.com/PivovarLipnik")</f>
        <v>https://www.facebook.com/PivovarLipnik</v>
      </c>
      <c r="K174" s="6" t="s">
        <v>1610</v>
      </c>
      <c r="L174" s="6"/>
      <c r="M174" s="6" t="s">
        <v>1611</v>
      </c>
      <c r="N174" s="6"/>
      <c r="O174" s="6" t="s">
        <v>1606</v>
      </c>
      <c r="P174" s="6"/>
      <c r="Q174" s="6"/>
      <c r="R174" s="6" t="s">
        <v>1612</v>
      </c>
      <c r="S174" s="6">
        <v>49.526618900000003</v>
      </c>
      <c r="T174" s="6">
        <v>17.5892011</v>
      </c>
      <c r="U174" s="6"/>
      <c r="V174" s="6"/>
      <c r="W174" s="6"/>
      <c r="X174" s="6" t="s">
        <v>47</v>
      </c>
      <c r="Y174" s="6"/>
      <c r="Z174" s="6" t="s">
        <v>47</v>
      </c>
      <c r="AA174" s="6"/>
      <c r="AB174" s="6"/>
      <c r="AD174" s="6"/>
      <c r="AE174" s="17" t="s">
        <v>47</v>
      </c>
      <c r="AF174" t="str">
        <f t="shared" si="0"/>
        <v>ANO</v>
      </c>
    </row>
    <row r="175" spans="1:32">
      <c r="A175" s="6">
        <v>161</v>
      </c>
      <c r="B175" s="6" t="s">
        <v>1613</v>
      </c>
      <c r="C175" s="6" t="s">
        <v>1614</v>
      </c>
      <c r="D175" s="6" t="s">
        <v>1615</v>
      </c>
      <c r="E175" s="12" t="s">
        <v>1616</v>
      </c>
      <c r="F175" s="6" t="s">
        <v>73</v>
      </c>
      <c r="G175" s="11">
        <v>2005</v>
      </c>
      <c r="H175" s="6">
        <v>150</v>
      </c>
      <c r="I175" s="13" t="str">
        <f>HYPERLINK("http://www.hotel-loket.cz","http://www.hotel-loket.cz")</f>
        <v>http://www.hotel-loket.cz</v>
      </c>
      <c r="J175" s="13" t="str">
        <f>HYPERLINK("https://www.facebook.com/Rodinný-pivovar-Sv-Florián-108809569153206","https://www.facebook.com/Rodinný-pivovar-Sv-Florián-108809569153206")</f>
        <v>https://www.facebook.com/Rodinný-pivovar-Sv-Florián-108809569153206</v>
      </c>
      <c r="K175" s="6" t="s">
        <v>1617</v>
      </c>
      <c r="L175" s="6"/>
      <c r="M175" s="6" t="s">
        <v>1619</v>
      </c>
      <c r="N175" s="6"/>
      <c r="O175" s="6" t="s">
        <v>1620</v>
      </c>
      <c r="P175" s="6"/>
      <c r="Q175" s="6" t="s">
        <v>1621</v>
      </c>
      <c r="R175" s="6" t="s">
        <v>1622</v>
      </c>
      <c r="S175" s="6">
        <v>50.186760999999898</v>
      </c>
      <c r="T175" s="6">
        <v>12.752764000000001</v>
      </c>
      <c r="U175" s="6"/>
      <c r="V175" s="6"/>
      <c r="W175" s="6"/>
      <c r="X175" s="6" t="s">
        <v>47</v>
      </c>
      <c r="Y175" s="6"/>
      <c r="Z175" s="6"/>
      <c r="AA175" s="6"/>
      <c r="AB175" s="6"/>
      <c r="AD175" s="6"/>
      <c r="AE175" s="16"/>
      <c r="AF175" t="str">
        <f t="shared" si="0"/>
        <v>ANO</v>
      </c>
    </row>
    <row r="176" spans="1:32">
      <c r="A176" s="6">
        <v>162</v>
      </c>
      <c r="B176" s="6" t="s">
        <v>1623</v>
      </c>
      <c r="C176" s="6" t="s">
        <v>1624</v>
      </c>
      <c r="D176" s="6" t="s">
        <v>1625</v>
      </c>
      <c r="E176" s="12" t="s">
        <v>1626</v>
      </c>
      <c r="F176" s="6" t="s">
        <v>57</v>
      </c>
      <c r="G176" s="11">
        <v>1996</v>
      </c>
      <c r="H176" s="6">
        <v>50</v>
      </c>
      <c r="I176" s="13" t="str">
        <f>HYPERLINK("http://www.pivovarek.cz","http://www.pivovarek.cz")</f>
        <v>http://www.pivovarek.cz</v>
      </c>
      <c r="J176" s="6"/>
      <c r="K176" s="6" t="s">
        <v>1627</v>
      </c>
      <c r="L176" s="6"/>
      <c r="M176" s="6" t="s">
        <v>1628</v>
      </c>
      <c r="N176" s="6"/>
      <c r="O176" s="6" t="s">
        <v>1629</v>
      </c>
      <c r="P176" s="6"/>
      <c r="Q176" s="6"/>
      <c r="R176" s="6" t="s">
        <v>1630</v>
      </c>
      <c r="S176" s="6">
        <v>50.003266000000004</v>
      </c>
      <c r="T176" s="6">
        <v>15.2086469999999</v>
      </c>
      <c r="U176" s="6"/>
      <c r="V176" s="6"/>
      <c r="W176" s="6"/>
      <c r="X176" s="6"/>
      <c r="Y176" s="6"/>
      <c r="Z176" s="6"/>
      <c r="AA176" s="6"/>
      <c r="AB176" s="6"/>
      <c r="AD176" s="6"/>
      <c r="AE176" s="16"/>
      <c r="AF176" t="str">
        <f t="shared" si="0"/>
        <v/>
      </c>
    </row>
    <row r="177" spans="1:37">
      <c r="A177" s="6">
        <v>163</v>
      </c>
      <c r="B177" s="6" t="s">
        <v>1631</v>
      </c>
      <c r="C177" s="6" t="s">
        <v>1632</v>
      </c>
      <c r="D177" s="6" t="s">
        <v>1631</v>
      </c>
      <c r="E177" s="12" t="s">
        <v>1633</v>
      </c>
      <c r="F177" s="6" t="s">
        <v>91</v>
      </c>
      <c r="G177" s="11">
        <v>1564</v>
      </c>
      <c r="H177" s="6">
        <v>624000</v>
      </c>
      <c r="I177" s="13" t="str">
        <f>HYPERLINK("http://www.pivovarsvijany.cz","http://www.pivovarsvijany.cz")</f>
        <v>http://www.pivovarsvijany.cz</v>
      </c>
      <c r="J177" s="13" t="str">
        <f>HYPERLINK("https://www.facebook.com/Svijany","https://www.facebook.com/Svijany")</f>
        <v>https://www.facebook.com/Svijany</v>
      </c>
      <c r="K177" s="6" t="s">
        <v>1634</v>
      </c>
      <c r="L177" s="6" t="s">
        <v>1303</v>
      </c>
      <c r="M177" s="6" t="s">
        <v>1636</v>
      </c>
      <c r="N177" s="6"/>
      <c r="O177" s="6" t="s">
        <v>1637</v>
      </c>
      <c r="P177" s="6"/>
      <c r="Q177" s="6"/>
      <c r="R177" s="6" t="s">
        <v>1638</v>
      </c>
      <c r="S177" s="6">
        <v>50.572496700000002</v>
      </c>
      <c r="T177" s="6">
        <v>15.054064199999999</v>
      </c>
      <c r="U177" s="6"/>
      <c r="V177" s="6"/>
      <c r="W177" s="6"/>
      <c r="X177" s="6"/>
      <c r="Y177" s="6"/>
      <c r="Z177" s="6"/>
      <c r="AA177" s="6"/>
      <c r="AB177" s="6"/>
      <c r="AD177" s="6"/>
      <c r="AE177" s="16"/>
      <c r="AF177" t="str">
        <f t="shared" si="0"/>
        <v/>
      </c>
    </row>
    <row r="178" spans="1:37">
      <c r="A178" s="6">
        <v>164</v>
      </c>
      <c r="B178" s="6" t="s">
        <v>1639</v>
      </c>
      <c r="C178" s="6" t="s">
        <v>1640</v>
      </c>
      <c r="D178" s="6" t="s">
        <v>1641</v>
      </c>
      <c r="E178" s="12" t="s">
        <v>1642</v>
      </c>
      <c r="F178" s="6" t="s">
        <v>57</v>
      </c>
      <c r="G178" s="11">
        <v>2012</v>
      </c>
      <c r="H178" s="6">
        <v>200</v>
      </c>
      <c r="I178" s="13" t="str">
        <f>HYPERLINK("http://www.syrovar.cz","http://www.syrovar.cz")</f>
        <v>http://www.syrovar.cz</v>
      </c>
      <c r="J178" s="13" t="str">
        <f>HYPERLINK("https://www.facebook.com/www.syrovar.cz","https://www.facebook.com/www.syrovar.cz")</f>
        <v>https://www.facebook.com/www.syrovar.cz</v>
      </c>
      <c r="K178" s="6" t="s">
        <v>1643</v>
      </c>
      <c r="L178" s="6"/>
      <c r="M178" s="6" t="s">
        <v>1644</v>
      </c>
      <c r="N178" s="6"/>
      <c r="O178" s="6" t="s">
        <v>1645</v>
      </c>
      <c r="P178" s="6"/>
      <c r="Q178" s="15" t="s">
        <v>1646</v>
      </c>
      <c r="R178" s="6" t="s">
        <v>1647</v>
      </c>
      <c r="S178" s="6">
        <v>49.026492500000003</v>
      </c>
      <c r="T178" s="6">
        <v>17.263796899999999</v>
      </c>
      <c r="U178" s="6"/>
      <c r="V178" s="6"/>
      <c r="W178" s="6"/>
      <c r="X178" s="6"/>
      <c r="Y178" s="6"/>
      <c r="Z178" s="6"/>
      <c r="AA178" s="6"/>
      <c r="AB178" s="6" t="s">
        <v>47</v>
      </c>
      <c r="AD178" s="6" t="s">
        <v>47</v>
      </c>
      <c r="AE178" s="17" t="s">
        <v>47</v>
      </c>
      <c r="AF178" t="str">
        <f t="shared" si="0"/>
        <v>ANO</v>
      </c>
    </row>
    <row r="179" spans="1:37">
      <c r="A179" s="6">
        <v>165</v>
      </c>
      <c r="B179" s="6" t="s">
        <v>1332</v>
      </c>
      <c r="C179" s="6" t="s">
        <v>1648</v>
      </c>
      <c r="D179" s="6" t="s">
        <v>419</v>
      </c>
      <c r="E179" s="12" t="s">
        <v>1649</v>
      </c>
      <c r="F179" s="6" t="s">
        <v>73</v>
      </c>
      <c r="G179" s="11">
        <v>1998</v>
      </c>
      <c r="H179" s="6">
        <v>1000</v>
      </c>
      <c r="I179" s="13" t="str">
        <f>HYPERLINK("http://www.pivovarskydum.com","http://www.pivovarskydum.com")</f>
        <v>http://www.pivovarskydum.com</v>
      </c>
      <c r="J179" s="13" t="str">
        <f>HYPERLINK("https://www.facebook.com/Pivovarskydum","https://www.facebook.com/Pivovarskydum")</f>
        <v>https://www.facebook.com/Pivovarskydum</v>
      </c>
      <c r="K179" s="6" t="s">
        <v>1650</v>
      </c>
      <c r="L179" s="6"/>
      <c r="M179" s="6" t="s">
        <v>1651</v>
      </c>
      <c r="N179" s="6"/>
      <c r="O179" s="6" t="s">
        <v>1652</v>
      </c>
      <c r="P179" s="6" t="s">
        <v>1653</v>
      </c>
      <c r="Q179" s="6"/>
      <c r="R179" s="6" t="s">
        <v>1654</v>
      </c>
      <c r="S179" s="6">
        <v>50.075358000000001</v>
      </c>
      <c r="T179" s="6">
        <v>14.423824</v>
      </c>
      <c r="U179" s="6"/>
      <c r="V179" s="6" t="s">
        <v>47</v>
      </c>
      <c r="W179" s="6" t="s">
        <v>47</v>
      </c>
      <c r="X179" s="6"/>
      <c r="Y179" s="6"/>
      <c r="Z179" s="6"/>
      <c r="AA179" s="6" t="s">
        <v>47</v>
      </c>
      <c r="AB179" s="6"/>
      <c r="AD179" s="6"/>
      <c r="AE179" s="17" t="s">
        <v>47</v>
      </c>
      <c r="AF179" t="str">
        <f t="shared" si="0"/>
        <v>ANO</v>
      </c>
    </row>
    <row r="180" spans="1:37">
      <c r="A180" s="6">
        <v>166</v>
      </c>
      <c r="B180" s="6" t="s">
        <v>1655</v>
      </c>
      <c r="C180" s="6" t="s">
        <v>1656</v>
      </c>
      <c r="D180" s="6" t="s">
        <v>977</v>
      </c>
      <c r="E180" s="12" t="s">
        <v>1657</v>
      </c>
      <c r="F180" s="6" t="s">
        <v>73</v>
      </c>
      <c r="G180" s="11">
        <v>2010</v>
      </c>
      <c r="H180" s="6">
        <v>300</v>
      </c>
      <c r="I180" s="13" t="str">
        <f>HYPERLINK("http://www.sumavskypivovar.cz","http://www.sumavskypivovar.cz")</f>
        <v>http://www.sumavskypivovar.cz</v>
      </c>
      <c r="J180" s="13" t="str">
        <f>HYPERLINK("https://www.facebook.com/sumavskypivovarvimperk","https://www.facebook.com/sumavskypivovarvimperk")</f>
        <v>https://www.facebook.com/sumavskypivovarvimperk</v>
      </c>
      <c r="K180" s="6" t="s">
        <v>1658</v>
      </c>
      <c r="L180" s="6"/>
      <c r="M180" s="6" t="s">
        <v>1659</v>
      </c>
      <c r="N180" s="6"/>
      <c r="O180" s="6" t="s">
        <v>1660</v>
      </c>
      <c r="P180" s="6"/>
      <c r="Q180" s="6"/>
      <c r="R180" s="6" t="s">
        <v>1661</v>
      </c>
      <c r="S180" s="6">
        <v>49.052481999999898</v>
      </c>
      <c r="T180" s="6">
        <v>13.774951</v>
      </c>
      <c r="U180" s="6"/>
      <c r="V180" s="6"/>
      <c r="W180" s="6"/>
      <c r="X180" s="6"/>
      <c r="Y180" s="6"/>
      <c r="Z180" s="6" t="s">
        <v>47</v>
      </c>
      <c r="AA180" s="6"/>
      <c r="AB180" s="6"/>
      <c r="AD180" s="6"/>
      <c r="AE180" s="16"/>
      <c r="AF180" t="str">
        <f t="shared" si="0"/>
        <v>ANO</v>
      </c>
    </row>
    <row r="181" spans="1:37">
      <c r="A181" s="6">
        <v>167</v>
      </c>
      <c r="B181" s="6" t="s">
        <v>1662</v>
      </c>
      <c r="C181" s="6" t="s">
        <v>1663</v>
      </c>
      <c r="D181" s="6" t="s">
        <v>819</v>
      </c>
      <c r="E181" s="12" t="s">
        <v>1664</v>
      </c>
      <c r="F181" s="6" t="s">
        <v>73</v>
      </c>
      <c r="G181" s="11">
        <v>1994</v>
      </c>
      <c r="H181" s="6">
        <v>1000</v>
      </c>
      <c r="I181" s="13" t="str">
        <f>HYPERLINK("http://www.minipivovarkunc.cz","http://www.minipivovarkunc.cz")</f>
        <v>http://www.minipivovarkunc.cz</v>
      </c>
      <c r="J181" s="13" t="str">
        <f>HYPERLINK("https://www.facebook.com/minipivovarkunc","https://www.facebook.com/minipivovarkunc")</f>
        <v>https://www.facebook.com/minipivovarkunc</v>
      </c>
      <c r="K181" s="6" t="s">
        <v>1667</v>
      </c>
      <c r="L181" s="6"/>
      <c r="M181" s="6" t="s">
        <v>1668</v>
      </c>
      <c r="N181" s="6"/>
      <c r="O181" s="6" t="s">
        <v>1669</v>
      </c>
      <c r="P181" s="6" t="s">
        <v>1663</v>
      </c>
      <c r="Q181" s="6"/>
      <c r="R181" s="6" t="s">
        <v>1670</v>
      </c>
      <c r="S181" s="6">
        <v>48.850405000000002</v>
      </c>
      <c r="T181" s="6">
        <v>17.127658</v>
      </c>
      <c r="U181" s="6"/>
      <c r="V181" s="6"/>
      <c r="W181" s="6"/>
      <c r="X181" s="6" t="s">
        <v>47</v>
      </c>
      <c r="Y181" s="6"/>
      <c r="Z181" s="6"/>
      <c r="AA181" s="6"/>
      <c r="AB181" s="6"/>
      <c r="AD181" s="6"/>
      <c r="AE181" s="17" t="s">
        <v>47</v>
      </c>
      <c r="AF181" t="str">
        <f t="shared" si="0"/>
        <v>ANO</v>
      </c>
    </row>
    <row r="182" spans="1:37">
      <c r="A182" s="6">
        <v>168</v>
      </c>
      <c r="B182" s="6" t="s">
        <v>1671</v>
      </c>
      <c r="C182" s="6" t="s">
        <v>1672</v>
      </c>
      <c r="D182" s="6" t="s">
        <v>1673</v>
      </c>
      <c r="E182" s="12" t="s">
        <v>1674</v>
      </c>
      <c r="F182" s="6" t="s">
        <v>38</v>
      </c>
      <c r="G182" s="11">
        <v>2009</v>
      </c>
      <c r="H182" s="6">
        <v>5100</v>
      </c>
      <c r="I182" s="13" t="str">
        <f>HYPERLINK("http://www.pivo-tambor.cz","http://www.pivo-tambor.cz")</f>
        <v>http://www.pivo-tambor.cz</v>
      </c>
      <c r="J182" s="13" t="str">
        <f>HYPERLINK("https://www.facebook.com/Pivovar-Tambor-272322416262078","https://www.facebook.com/Pivovar-Tambor-272322416262078")</f>
        <v>https://www.facebook.com/Pivovar-Tambor-272322416262078</v>
      </c>
      <c r="K182" s="6" t="s">
        <v>1675</v>
      </c>
      <c r="L182" s="6"/>
      <c r="M182" s="6" t="s">
        <v>1676</v>
      </c>
      <c r="N182" s="6"/>
      <c r="O182" s="6" t="s">
        <v>1677</v>
      </c>
      <c r="P182" s="6" t="s">
        <v>1678</v>
      </c>
      <c r="Q182" s="6"/>
      <c r="R182" s="6" t="s">
        <v>1679</v>
      </c>
      <c r="S182" s="6">
        <v>50.419826</v>
      </c>
      <c r="T182" s="6">
        <v>15.809005000000001</v>
      </c>
      <c r="U182" s="6"/>
      <c r="V182" s="6"/>
      <c r="W182" s="6"/>
      <c r="X182" s="6"/>
      <c r="Y182" s="6"/>
      <c r="Z182" s="6"/>
      <c r="AA182" s="6"/>
      <c r="AB182" s="6"/>
      <c r="AD182" s="6"/>
      <c r="AE182" s="16"/>
      <c r="AF182" t="str">
        <f t="shared" si="0"/>
        <v/>
      </c>
    </row>
    <row r="183" spans="1:37">
      <c r="A183" s="6">
        <v>169</v>
      </c>
      <c r="B183" s="6" t="s">
        <v>1680</v>
      </c>
      <c r="C183" s="6" t="s">
        <v>1681</v>
      </c>
      <c r="D183" s="6" t="s">
        <v>1680</v>
      </c>
      <c r="E183" s="12" t="s">
        <v>1682</v>
      </c>
      <c r="F183" s="6" t="s">
        <v>73</v>
      </c>
      <c r="G183" s="11">
        <v>2005</v>
      </c>
      <c r="H183" s="6">
        <v>260</v>
      </c>
      <c r="I183" s="13" t="str">
        <f>HYPERLINK("http://www.relaxvpodhuri.cz","http://www.relaxvpodhuri.cz")</f>
        <v>http://www.relaxvpodhuri.cz</v>
      </c>
      <c r="J183" s="6"/>
      <c r="K183" s="6" t="s">
        <v>1683</v>
      </c>
      <c r="L183" s="6" t="s">
        <v>795</v>
      </c>
      <c r="M183" s="6" t="s">
        <v>796</v>
      </c>
      <c r="N183" s="6"/>
      <c r="O183" s="6" t="s">
        <v>1684</v>
      </c>
      <c r="P183" s="6" t="s">
        <v>1681</v>
      </c>
      <c r="Q183" s="6"/>
      <c r="R183" s="6" t="s">
        <v>1685</v>
      </c>
      <c r="S183" s="6">
        <v>49.591071900000003</v>
      </c>
      <c r="T183" s="6">
        <v>18.1168525</v>
      </c>
      <c r="U183" s="6"/>
      <c r="V183" s="6"/>
      <c r="W183" s="6"/>
      <c r="X183" s="6"/>
      <c r="Y183" s="6" t="s">
        <v>47</v>
      </c>
      <c r="Z183" s="6" t="s">
        <v>47</v>
      </c>
      <c r="AA183" s="6"/>
      <c r="AB183" s="6"/>
      <c r="AD183" s="6"/>
      <c r="AE183" s="17" t="s">
        <v>47</v>
      </c>
      <c r="AF183" t="str">
        <f t="shared" si="0"/>
        <v>ANO</v>
      </c>
    </row>
    <row r="184" spans="1:37">
      <c r="A184" s="6">
        <v>170</v>
      </c>
      <c r="B184" s="6" t="s">
        <v>1686</v>
      </c>
      <c r="C184" s="6" t="s">
        <v>1687</v>
      </c>
      <c r="D184" s="6" t="s">
        <v>422</v>
      </c>
      <c r="E184" s="12" t="s">
        <v>1688</v>
      </c>
      <c r="F184" s="6" t="s">
        <v>73</v>
      </c>
      <c r="G184" s="11">
        <v>2012</v>
      </c>
      <c r="H184" s="6"/>
      <c r="I184" s="13" t="str">
        <f>HYPERLINK("http://www.pivovar-trebic.cz","http://www.pivovar-trebic.cz")</f>
        <v>http://www.pivovar-trebic.cz</v>
      </c>
      <c r="J184" s="13" t="str">
        <f>HYPERLINK("https://www.facebook.com/PivovarTrebic","https://www.facebook.com/PivovarTrebic")</f>
        <v>https://www.facebook.com/PivovarTrebic</v>
      </c>
      <c r="K184" s="6" t="s">
        <v>1689</v>
      </c>
      <c r="L184" s="6"/>
      <c r="M184" s="6" t="s">
        <v>1690</v>
      </c>
      <c r="N184" s="6"/>
      <c r="O184" s="6" t="s">
        <v>1691</v>
      </c>
      <c r="P184" s="6"/>
      <c r="Q184" s="6"/>
      <c r="R184" s="6" t="s">
        <v>1692</v>
      </c>
      <c r="S184" s="6">
        <v>49.217477000000002</v>
      </c>
      <c r="T184" s="6">
        <v>15.869711000000001</v>
      </c>
      <c r="U184" s="6"/>
      <c r="V184" s="6"/>
      <c r="W184" s="6"/>
      <c r="X184" s="6"/>
      <c r="Y184" s="6" t="s">
        <v>47</v>
      </c>
      <c r="Z184" s="6"/>
      <c r="AA184" s="6" t="s">
        <v>47</v>
      </c>
      <c r="AB184" s="6"/>
      <c r="AD184" s="6"/>
      <c r="AE184" s="17" t="s">
        <v>47</v>
      </c>
      <c r="AF184" t="str">
        <f t="shared" si="0"/>
        <v>ANO</v>
      </c>
    </row>
    <row r="185" spans="1:37">
      <c r="A185" s="6">
        <v>171</v>
      </c>
      <c r="B185" s="6" t="s">
        <v>1693</v>
      </c>
      <c r="C185" s="6" t="s">
        <v>1694</v>
      </c>
      <c r="D185" s="6" t="s">
        <v>1695</v>
      </c>
      <c r="E185" s="12" t="s">
        <v>1696</v>
      </c>
      <c r="F185" s="6" t="s">
        <v>38</v>
      </c>
      <c r="G185" s="11">
        <v>2010</v>
      </c>
      <c r="H185" s="6">
        <v>75</v>
      </c>
      <c r="I185" s="13" t="str">
        <f>HYPERLINK("http://www.pivovartrebonice.com","http://www.pivovartrebonice.com")</f>
        <v>http://www.pivovartrebonice.com</v>
      </c>
      <c r="J185" s="13" t="str">
        <f>HYPERLINK("https://www.facebook.com/Rukodělný-Pivovárek-Třebonice-147161455309180","https://www.facebook.com/Rukodělný-Pivovárek-Třebonice-147161455309180")</f>
        <v>https://www.facebook.com/Rukodělný-Pivovárek-Třebonice-147161455309180</v>
      </c>
      <c r="K185" s="6" t="s">
        <v>1697</v>
      </c>
      <c r="L185" s="6"/>
      <c r="M185" s="6" t="s">
        <v>1698</v>
      </c>
      <c r="N185" s="6"/>
      <c r="O185" s="6" t="s">
        <v>1699</v>
      </c>
      <c r="P185" s="6" t="s">
        <v>1700</v>
      </c>
      <c r="Q185" s="6"/>
      <c r="R185" s="6" t="s">
        <v>1701</v>
      </c>
      <c r="S185" s="6">
        <v>50.044238300000004</v>
      </c>
      <c r="T185" s="6">
        <v>14.2824147</v>
      </c>
      <c r="U185" s="6"/>
      <c r="V185" s="6"/>
      <c r="W185" s="6"/>
      <c r="X185" s="6"/>
      <c r="Y185" s="6"/>
      <c r="Z185" s="6" t="s">
        <v>47</v>
      </c>
      <c r="AA185" s="6"/>
      <c r="AB185" s="6"/>
      <c r="AD185" s="6"/>
      <c r="AE185" s="17" t="s">
        <v>47</v>
      </c>
      <c r="AF185" t="str">
        <f t="shared" si="0"/>
        <v>ANO</v>
      </c>
    </row>
    <row r="186" spans="1:37">
      <c r="A186" s="6">
        <v>172</v>
      </c>
      <c r="B186" s="6" t="s">
        <v>1702</v>
      </c>
      <c r="C186" s="6" t="s">
        <v>1703</v>
      </c>
      <c r="D186" s="6" t="s">
        <v>1704</v>
      </c>
      <c r="E186" s="12" t="s">
        <v>1705</v>
      </c>
      <c r="F186" s="6" t="s">
        <v>38</v>
      </c>
      <c r="G186" s="11">
        <v>2009</v>
      </c>
      <c r="H186" s="6">
        <v>500</v>
      </c>
      <c r="I186" s="13" t="str">
        <f>HYPERLINK("http://www.minipivovarkarpentna.cz","http://www.minipivovarkarpentna.cz")</f>
        <v>http://www.minipivovarkarpentna.cz</v>
      </c>
      <c r="J186" s="13" t="str">
        <f>HYPERLINK("https://www.facebook.com/PivniceKarpentna","https://www.facebook.com/PivniceKarpentna")</f>
        <v>https://www.facebook.com/PivniceKarpentna</v>
      </c>
      <c r="K186" s="6" t="s">
        <v>1706</v>
      </c>
      <c r="L186" s="6"/>
      <c r="M186" s="6" t="s">
        <v>1707</v>
      </c>
      <c r="N186" s="6"/>
      <c r="O186" s="6" t="s">
        <v>1708</v>
      </c>
      <c r="P186" s="6" t="s">
        <v>1709</v>
      </c>
      <c r="Q186" s="6" t="s">
        <v>1710</v>
      </c>
      <c r="R186" s="6" t="s">
        <v>1711</v>
      </c>
      <c r="S186" s="6">
        <v>49.6348109999999</v>
      </c>
      <c r="T186" s="6">
        <v>18.685721999999899</v>
      </c>
      <c r="U186" s="6"/>
      <c r="V186" s="6"/>
      <c r="W186" s="6"/>
      <c r="X186" s="6" t="s">
        <v>47</v>
      </c>
      <c r="Y186" s="6"/>
      <c r="Z186" s="6" t="s">
        <v>47</v>
      </c>
      <c r="AA186" s="6"/>
      <c r="AB186" s="6"/>
      <c r="AD186" s="6"/>
      <c r="AE186" s="16"/>
      <c r="AF186" t="str">
        <f t="shared" si="0"/>
        <v>ANO</v>
      </c>
    </row>
    <row r="187" spans="1:37">
      <c r="A187" s="6">
        <v>173</v>
      </c>
      <c r="B187" s="6" t="s">
        <v>1712</v>
      </c>
      <c r="C187" s="6" t="s">
        <v>1713</v>
      </c>
      <c r="D187" s="6" t="s">
        <v>711</v>
      </c>
      <c r="E187" s="9" t="s">
        <v>1714</v>
      </c>
      <c r="F187" s="6" t="s">
        <v>73</v>
      </c>
      <c r="G187" s="11">
        <v>2004</v>
      </c>
      <c r="H187" s="6">
        <v>600</v>
      </c>
      <c r="I187" s="13" t="str">
        <f>HYPERLINK("http://www.umedvidku.cz","http://www.umedvidku.cz")</f>
        <v>http://www.umedvidku.cz</v>
      </c>
      <c r="J187" s="13" t="str">
        <f>HYPERLINK("https://www.facebook.com/umedvidku.cz","https://www.facebook.com/umedvidku.cz")</f>
        <v>https://www.facebook.com/umedvidku.cz</v>
      </c>
      <c r="K187" s="6" t="s">
        <v>1715</v>
      </c>
      <c r="L187" s="6"/>
      <c r="M187" s="6" t="s">
        <v>1716</v>
      </c>
      <c r="N187" s="6"/>
      <c r="O187" s="6" t="s">
        <v>1717</v>
      </c>
      <c r="P187" s="6" t="s">
        <v>1712</v>
      </c>
      <c r="Q187" s="6"/>
      <c r="R187" s="6" t="s">
        <v>1718</v>
      </c>
      <c r="S187" s="6">
        <v>50.082865599999998</v>
      </c>
      <c r="T187" s="6">
        <v>14.418599199999999</v>
      </c>
      <c r="U187" s="6"/>
      <c r="V187" s="6"/>
      <c r="W187" s="6"/>
      <c r="X187" s="6"/>
      <c r="Y187" s="6"/>
      <c r="Z187" s="6"/>
      <c r="AA187" s="6" t="s">
        <v>47</v>
      </c>
      <c r="AB187" s="6"/>
      <c r="AD187" s="6"/>
      <c r="AE187" s="16"/>
      <c r="AF187" t="str">
        <f t="shared" si="0"/>
        <v>ANO</v>
      </c>
    </row>
    <row r="188" spans="1:37">
      <c r="A188" s="6">
        <v>174</v>
      </c>
      <c r="B188" s="6" t="s">
        <v>1719</v>
      </c>
      <c r="C188" s="6" t="s">
        <v>1720</v>
      </c>
      <c r="D188" s="6" t="s">
        <v>622</v>
      </c>
      <c r="E188" s="12" t="s">
        <v>1721</v>
      </c>
      <c r="F188" s="6" t="s">
        <v>73</v>
      </c>
      <c r="G188" s="11">
        <v>2011</v>
      </c>
      <c r="H188" s="6"/>
      <c r="I188" s="13" t="str">
        <f>HYPERLINK("http://www.kolibautrikralu.cz","http://www.kolibautrikralu.cz")</f>
        <v>http://www.kolibautrikralu.cz</v>
      </c>
      <c r="J188" s="13" t="str">
        <f>HYPERLINK("https://www.facebook.com/Koliba-Pivovar-U-Tří-králů-171708206259773","https://www.facebook.com/Koliba-Pivovar-U-Tří-králů-171708206259773")</f>
        <v>https://www.facebook.com/Koliba-Pivovar-U-Tří-králů-171708206259773</v>
      </c>
      <c r="K188" s="6" t="s">
        <v>1722</v>
      </c>
      <c r="L188" s="6"/>
      <c r="M188" s="6" t="s">
        <v>1723</v>
      </c>
      <c r="N188" s="6"/>
      <c r="O188" s="6" t="s">
        <v>1724</v>
      </c>
      <c r="P188" s="6" t="s">
        <v>1725</v>
      </c>
      <c r="Q188" s="15" t="s">
        <v>1726</v>
      </c>
      <c r="R188" s="6" t="s">
        <v>1727</v>
      </c>
      <c r="S188" s="6">
        <v>49.472006399999998</v>
      </c>
      <c r="T188" s="6">
        <v>17.088440599999998</v>
      </c>
      <c r="U188" s="6"/>
      <c r="V188" s="6"/>
      <c r="W188" s="6"/>
      <c r="X188" s="6"/>
      <c r="Y188" s="6" t="s">
        <v>47</v>
      </c>
      <c r="Z188" s="6"/>
      <c r="AA188" s="6" t="s">
        <v>47</v>
      </c>
      <c r="AB188" s="6"/>
      <c r="AD188" s="6"/>
      <c r="AE188" s="17" t="s">
        <v>47</v>
      </c>
      <c r="AF188" t="str">
        <f t="shared" si="0"/>
        <v>ANO</v>
      </c>
    </row>
    <row r="189" spans="1:37">
      <c r="A189" s="6">
        <v>175</v>
      </c>
      <c r="B189" s="6" t="s">
        <v>1728</v>
      </c>
      <c r="C189" s="6" t="s">
        <v>1729</v>
      </c>
      <c r="D189" s="6" t="s">
        <v>711</v>
      </c>
      <c r="E189" s="12" t="s">
        <v>1730</v>
      </c>
      <c r="F189" s="6" t="s">
        <v>73</v>
      </c>
      <c r="G189" s="11">
        <v>2012</v>
      </c>
      <c r="H189" s="6"/>
      <c r="I189" s="13" t="str">
        <f>HYPERLINK("http://www.u3r.cz","http://www.u3r.cz")</f>
        <v>http://www.u3r.cz</v>
      </c>
      <c r="J189" s="13" t="str">
        <f>HYPERLINK("https://www.facebook.com/utrir","https://www.facebook.com/utrir")</f>
        <v>https://www.facebook.com/utrir</v>
      </c>
      <c r="K189" s="6" t="s">
        <v>1731</v>
      </c>
      <c r="L189" s="6"/>
      <c r="M189" s="6" t="s">
        <v>1732</v>
      </c>
      <c r="N189" s="6"/>
      <c r="O189" s="6" t="s">
        <v>1733</v>
      </c>
      <c r="P189" s="6" t="s">
        <v>1728</v>
      </c>
      <c r="Q189" s="6"/>
      <c r="R189" s="6" t="s">
        <v>1734</v>
      </c>
      <c r="S189" s="6">
        <v>50.0856169999999</v>
      </c>
      <c r="T189" s="6">
        <v>14.418329</v>
      </c>
      <c r="U189" s="6"/>
      <c r="V189" s="6"/>
      <c r="W189" s="6"/>
      <c r="X189" s="6"/>
      <c r="Y189" s="6"/>
      <c r="Z189" s="6"/>
      <c r="AA189" s="6"/>
      <c r="AB189" s="6"/>
      <c r="AD189" s="6"/>
      <c r="AE189" s="16"/>
      <c r="AF189" t="str">
        <f t="shared" si="0"/>
        <v/>
      </c>
    </row>
    <row r="190" spans="1:37">
      <c r="A190" s="6">
        <v>176</v>
      </c>
      <c r="B190" s="6" t="s">
        <v>1735</v>
      </c>
      <c r="C190" s="6" t="s">
        <v>1736</v>
      </c>
      <c r="D190" s="6" t="s">
        <v>1737</v>
      </c>
      <c r="E190" s="12" t="s">
        <v>1738</v>
      </c>
      <c r="F190" s="6" t="s">
        <v>91</v>
      </c>
      <c r="G190" s="11">
        <v>2011</v>
      </c>
      <c r="H190" s="6">
        <v>12000</v>
      </c>
      <c r="I190" s="13" t="str">
        <f>HYPERLINK("http://www.unetickypivovar.cz","http://www.unetickypivovar.cz")</f>
        <v>http://www.unetickypivovar.cz</v>
      </c>
      <c r="J190" s="13" t="str">
        <f>HYPERLINK("https://www.facebook.com/Únětický-pivovar-186598138044813","https://www.facebook.com/Únětický-pivovar-186598138044813")</f>
        <v>https://www.facebook.com/Únětický-pivovar-186598138044813</v>
      </c>
      <c r="K190" s="6" t="s">
        <v>1739</v>
      </c>
      <c r="L190" s="6"/>
      <c r="M190" s="6" t="s">
        <v>1740</v>
      </c>
      <c r="N190" s="6"/>
      <c r="O190" s="6" t="s">
        <v>1741</v>
      </c>
      <c r="P190" s="6"/>
      <c r="Q190" s="6"/>
      <c r="R190" s="6" t="s">
        <v>1742</v>
      </c>
      <c r="S190" s="6">
        <v>50.148891399999997</v>
      </c>
      <c r="T190" s="6">
        <v>14.354330600000001</v>
      </c>
      <c r="U190" s="6"/>
      <c r="V190" s="6"/>
      <c r="W190" s="6"/>
      <c r="X190" s="6"/>
      <c r="Y190" s="6"/>
      <c r="Z190" s="6"/>
      <c r="AA190" s="6"/>
      <c r="AB190" s="6"/>
      <c r="AD190" s="6"/>
      <c r="AE190" s="16"/>
      <c r="AF190" t="str">
        <f t="shared" si="0"/>
        <v/>
      </c>
    </row>
    <row r="191" spans="1:37">
      <c r="A191" s="19">
        <v>177</v>
      </c>
      <c r="B191" s="20" t="s">
        <v>1743</v>
      </c>
      <c r="C191" s="20" t="s">
        <v>1744</v>
      </c>
      <c r="D191" s="16" t="s">
        <v>1745</v>
      </c>
      <c r="E191" s="23" t="s">
        <v>1746</v>
      </c>
      <c r="F191" s="20" t="s">
        <v>113</v>
      </c>
      <c r="G191" s="24">
        <v>2012.2016000000001</v>
      </c>
      <c r="H191" s="20"/>
      <c r="I191" s="20"/>
      <c r="J191" s="16" t="s">
        <v>1747</v>
      </c>
      <c r="K191" s="26" t="s">
        <v>1748</v>
      </c>
      <c r="L191" s="20"/>
      <c r="M191" s="16" t="s">
        <v>1744</v>
      </c>
      <c r="N191" s="20"/>
      <c r="O191" s="16" t="s">
        <v>1749</v>
      </c>
      <c r="P191" s="20"/>
      <c r="Q191" s="20"/>
      <c r="R191" s="20" t="s">
        <v>1750</v>
      </c>
      <c r="S191" s="19">
        <v>49.014139999999898</v>
      </c>
      <c r="T191" s="19">
        <v>16.780307000000001</v>
      </c>
      <c r="U191" s="20"/>
      <c r="V191" s="20"/>
      <c r="W191" s="20"/>
      <c r="X191" s="20"/>
      <c r="Y191" s="20"/>
      <c r="Z191" s="20"/>
      <c r="AA191" s="20"/>
      <c r="AB191" s="20"/>
      <c r="AC191" s="20"/>
      <c r="AD191" s="20"/>
      <c r="AE191" s="20"/>
      <c r="AF191" t="str">
        <f t="shared" si="0"/>
        <v/>
      </c>
      <c r="AG191" s="20"/>
      <c r="AH191" s="20"/>
      <c r="AI191" s="20"/>
      <c r="AJ191" s="20"/>
      <c r="AK191" s="20"/>
    </row>
    <row r="192" spans="1:37">
      <c r="A192" s="6">
        <v>177</v>
      </c>
      <c r="B192" s="6" t="s">
        <v>1751</v>
      </c>
      <c r="C192" s="6" t="s">
        <v>1752</v>
      </c>
      <c r="D192" s="6" t="s">
        <v>354</v>
      </c>
      <c r="E192" s="12" t="s">
        <v>1753</v>
      </c>
      <c r="F192" s="6" t="s">
        <v>73</v>
      </c>
      <c r="G192" s="11">
        <v>2010</v>
      </c>
      <c r="H192" s="6">
        <v>1200</v>
      </c>
      <c r="I192" s="13" t="str">
        <f>HYPERLINK("http://www.pivovarnarychte.cz","http://www.pivovarnarychte.cz")</f>
        <v>http://www.pivovarnarychte.cz</v>
      </c>
      <c r="J192" s="13" t="str">
        <f>HYPERLINK("https://www.facebook.com/PivovarHotelNaRychte","https://www.facebook.com/PivovarHotelNaRychte")</f>
        <v>https://www.facebook.com/PivovarHotelNaRychte</v>
      </c>
      <c r="K192" s="6" t="s">
        <v>1754</v>
      </c>
      <c r="L192" s="6"/>
      <c r="M192" s="6" t="s">
        <v>1755</v>
      </c>
      <c r="N192" s="6"/>
      <c r="O192" s="6" t="s">
        <v>1756</v>
      </c>
      <c r="P192" s="6" t="s">
        <v>1757</v>
      </c>
      <c r="Q192" s="6" t="s">
        <v>1758</v>
      </c>
      <c r="R192" s="6" t="s">
        <v>1759</v>
      </c>
      <c r="S192" s="6">
        <v>50.659697800000004</v>
      </c>
      <c r="T192" s="6">
        <v>14.041934700000001</v>
      </c>
      <c r="U192" s="6"/>
      <c r="V192" s="6"/>
      <c r="W192" s="6"/>
      <c r="X192" s="6"/>
      <c r="Y192" s="6"/>
      <c r="Z192" s="6"/>
      <c r="AA192" s="6" t="s">
        <v>47</v>
      </c>
      <c r="AB192" s="6"/>
      <c r="AD192" s="6" t="s">
        <v>47</v>
      </c>
      <c r="AE192" s="17" t="s">
        <v>47</v>
      </c>
      <c r="AF192" t="str">
        <f t="shared" si="0"/>
        <v>ANO</v>
      </c>
    </row>
    <row r="193" spans="1:37">
      <c r="A193" s="6">
        <v>178</v>
      </c>
      <c r="B193" s="6" t="s">
        <v>1760</v>
      </c>
      <c r="C193" s="6" t="s">
        <v>1761</v>
      </c>
      <c r="D193" s="6" t="s">
        <v>287</v>
      </c>
      <c r="E193" s="12" t="s">
        <v>1762</v>
      </c>
      <c r="F193" s="6" t="s">
        <v>73</v>
      </c>
      <c r="G193" s="11">
        <v>2002</v>
      </c>
      <c r="H193" s="6">
        <v>800</v>
      </c>
      <c r="I193" s="13" t="str">
        <f>HYPERLINK("http://www.minipivovar.com","http://www.minipivovar.com")</f>
        <v>http://www.minipivovar.com</v>
      </c>
      <c r="J193" s="13" t="str">
        <f>HYPERLINK("https://www.facebook.com/minipivovarvalasek","https://www.facebook.com/minipivovarvalasek")</f>
        <v>https://www.facebook.com/minipivovarvalasek</v>
      </c>
      <c r="K193" s="6" t="s">
        <v>1763</v>
      </c>
      <c r="L193" s="6"/>
      <c r="M193" s="6" t="s">
        <v>1764</v>
      </c>
      <c r="N193" s="6"/>
      <c r="O193" s="6" t="s">
        <v>1765</v>
      </c>
      <c r="P193" s="6" t="s">
        <v>1766</v>
      </c>
      <c r="Q193" s="6" t="s">
        <v>1767</v>
      </c>
      <c r="R193" s="6" t="s">
        <v>1768</v>
      </c>
      <c r="S193" s="6">
        <v>49.342520999999898</v>
      </c>
      <c r="T193" s="6">
        <v>17.993442000000002</v>
      </c>
      <c r="U193" s="6"/>
      <c r="V193" s="6"/>
      <c r="W193" s="6"/>
      <c r="X193" s="6" t="s">
        <v>47</v>
      </c>
      <c r="Y193" s="6" t="s">
        <v>47</v>
      </c>
      <c r="Z193" s="6"/>
      <c r="AA193" s="6"/>
      <c r="AB193" s="6"/>
      <c r="AD193" s="6"/>
      <c r="AE193" s="16"/>
      <c r="AF193" t="str">
        <f t="shared" si="0"/>
        <v>ANO</v>
      </c>
    </row>
    <row r="194" spans="1:37">
      <c r="A194" s="6">
        <v>179</v>
      </c>
      <c r="B194" s="6" t="s">
        <v>1769</v>
      </c>
      <c r="C194" s="6" t="s">
        <v>1770</v>
      </c>
      <c r="D194" s="6" t="s">
        <v>1769</v>
      </c>
      <c r="E194" s="12" t="s">
        <v>1771</v>
      </c>
      <c r="F194" s="6" t="s">
        <v>91</v>
      </c>
      <c r="G194" s="11">
        <v>1874</v>
      </c>
      <c r="H194" s="6">
        <v>1500000</v>
      </c>
      <c r="I194" s="13" t="str">
        <f>HYPERLINK("http://pivovar.kozel.cz","http://pivovar.kozel.cz")</f>
        <v>http://pivovar.kozel.cz</v>
      </c>
      <c r="J194" s="13" t="str">
        <f>HYPERLINK("https://www.facebook.com/KozelCZ","https://www.facebook.com/KozelCZ")</f>
        <v>https://www.facebook.com/KozelCZ</v>
      </c>
      <c r="K194" s="6" t="s">
        <v>1772</v>
      </c>
      <c r="L194" s="6" t="s">
        <v>1219</v>
      </c>
      <c r="M194" s="6" t="s">
        <v>1773</v>
      </c>
      <c r="N194" s="6"/>
      <c r="O194" s="6" t="s">
        <v>1774</v>
      </c>
      <c r="P194" s="6"/>
      <c r="Q194" s="6"/>
      <c r="R194" s="6" t="s">
        <v>1775</v>
      </c>
      <c r="S194" s="6">
        <v>49.924311400000001</v>
      </c>
      <c r="T194" s="6">
        <v>14.634780599999999</v>
      </c>
      <c r="U194" s="6"/>
      <c r="V194" s="6"/>
      <c r="W194" s="6"/>
      <c r="X194" s="6"/>
      <c r="Y194" s="6"/>
      <c r="Z194" s="6"/>
      <c r="AA194" s="6"/>
      <c r="AB194" s="6"/>
      <c r="AD194" s="6"/>
      <c r="AE194" s="16"/>
      <c r="AF194" t="str">
        <f t="shared" si="0"/>
        <v/>
      </c>
    </row>
    <row r="195" spans="1:37">
      <c r="A195" s="6">
        <v>180</v>
      </c>
      <c r="B195" s="6" t="s">
        <v>1776</v>
      </c>
      <c r="C195" s="6" t="s">
        <v>1777</v>
      </c>
      <c r="D195" s="6" t="s">
        <v>1778</v>
      </c>
      <c r="E195" s="12" t="s">
        <v>1779</v>
      </c>
      <c r="F195" s="6" t="s">
        <v>38</v>
      </c>
      <c r="G195" s="11">
        <v>1999</v>
      </c>
      <c r="H195" s="6"/>
      <c r="I195" s="13" t="str">
        <f>HYPERLINK("http://www.pivovarvendelin.cz","http://www.pivovarvendelin.cz")</f>
        <v>http://www.pivovarvendelin.cz</v>
      </c>
      <c r="J195" s="13" t="str">
        <f>HYPERLINK("https://www.facebook.com/pivovar.vendelin","https://www.facebook.com/pivovar.vendelin")</f>
        <v>https://www.facebook.com/pivovar.vendelin</v>
      </c>
      <c r="K195" s="6" t="s">
        <v>1780</v>
      </c>
      <c r="L195" s="6"/>
      <c r="M195" s="6" t="s">
        <v>1781</v>
      </c>
      <c r="N195" s="6"/>
      <c r="O195" s="6" t="s">
        <v>1776</v>
      </c>
      <c r="P195" s="6"/>
      <c r="Q195" s="6"/>
      <c r="R195" s="6" t="s">
        <v>1782</v>
      </c>
      <c r="S195" s="6">
        <v>50.760627999999897</v>
      </c>
      <c r="T195" s="6">
        <v>15.112506</v>
      </c>
      <c r="U195" s="6"/>
      <c r="V195" s="6"/>
      <c r="W195" s="6"/>
      <c r="X195" s="6"/>
      <c r="Y195" s="6"/>
      <c r="Z195" s="6"/>
      <c r="AA195" s="6"/>
      <c r="AB195" s="6"/>
      <c r="AD195" s="6"/>
      <c r="AE195" s="16"/>
      <c r="AF195" t="str">
        <f t="shared" si="0"/>
        <v/>
      </c>
    </row>
    <row r="196" spans="1:37">
      <c r="A196" s="6">
        <v>181</v>
      </c>
      <c r="B196" s="6" t="s">
        <v>1783</v>
      </c>
      <c r="C196" s="6" t="s">
        <v>1784</v>
      </c>
      <c r="D196" s="6" t="s">
        <v>1785</v>
      </c>
      <c r="E196" s="12" t="s">
        <v>1786</v>
      </c>
      <c r="F196" s="6" t="s">
        <v>73</v>
      </c>
      <c r="G196" s="11">
        <v>2012</v>
      </c>
      <c r="H196" s="6"/>
      <c r="I196" s="13" t="str">
        <f>HYPERLINK("http://www.pivovarvictor.cz","http://www.pivovarvictor.cz")</f>
        <v>http://www.pivovarvictor.cz</v>
      </c>
      <c r="J196" s="15" t="s">
        <v>1787</v>
      </c>
      <c r="K196" s="6" t="s">
        <v>1788</v>
      </c>
      <c r="L196" s="6"/>
      <c r="M196" s="6" t="s">
        <v>1789</v>
      </c>
      <c r="N196" s="6"/>
      <c r="O196" s="6" t="s">
        <v>1783</v>
      </c>
      <c r="P196" s="6"/>
      <c r="Q196" s="6" t="s">
        <v>1790</v>
      </c>
      <c r="R196" s="6" t="s">
        <v>1791</v>
      </c>
      <c r="S196" s="6">
        <v>50.086829000000002</v>
      </c>
      <c r="T196" s="6">
        <v>14.450104</v>
      </c>
      <c r="U196" s="6"/>
      <c r="V196" s="6"/>
      <c r="W196" s="6"/>
      <c r="X196" s="6" t="s">
        <v>47</v>
      </c>
      <c r="Y196" s="6"/>
      <c r="Z196" s="6"/>
      <c r="AA196" s="6"/>
      <c r="AB196" s="6"/>
      <c r="AD196" s="6"/>
      <c r="AE196" s="17" t="s">
        <v>47</v>
      </c>
      <c r="AF196" t="str">
        <f t="shared" si="0"/>
        <v>ANO</v>
      </c>
    </row>
    <row r="197" spans="1:37">
      <c r="A197" s="19">
        <v>182</v>
      </c>
      <c r="B197" s="20" t="s">
        <v>1792</v>
      </c>
      <c r="C197" s="20" t="s">
        <v>1793</v>
      </c>
      <c r="D197" s="16" t="s">
        <v>1794</v>
      </c>
      <c r="E197" s="23" t="s">
        <v>1795</v>
      </c>
      <c r="F197" s="20" t="s">
        <v>113</v>
      </c>
      <c r="G197" s="24">
        <v>2011.2012</v>
      </c>
      <c r="H197" s="20"/>
      <c r="I197" s="20"/>
      <c r="J197" s="16" t="s">
        <v>1796</v>
      </c>
      <c r="K197" s="26" t="s">
        <v>1797</v>
      </c>
      <c r="L197" s="20"/>
      <c r="M197" s="16" t="s">
        <v>1798</v>
      </c>
      <c r="N197" s="20"/>
      <c r="O197" s="16" t="s">
        <v>1792</v>
      </c>
      <c r="P197" s="20"/>
      <c r="Q197" s="20"/>
      <c r="R197" s="20" t="s">
        <v>1799</v>
      </c>
      <c r="S197" s="19">
        <v>50.156396999999899</v>
      </c>
      <c r="T197" s="19">
        <v>14.1898199999999</v>
      </c>
      <c r="U197" s="20"/>
      <c r="V197" s="20"/>
      <c r="W197" s="20"/>
      <c r="X197" s="20"/>
      <c r="Y197" s="20"/>
      <c r="Z197" s="20"/>
      <c r="AA197" s="20"/>
      <c r="AB197" s="20"/>
      <c r="AC197" s="20"/>
      <c r="AD197" s="20"/>
      <c r="AE197" s="20"/>
      <c r="AF197" t="str">
        <f t="shared" si="0"/>
        <v/>
      </c>
      <c r="AG197" s="20"/>
      <c r="AH197" s="20"/>
      <c r="AI197" s="20"/>
      <c r="AJ197" s="20"/>
      <c r="AK197" s="20"/>
    </row>
    <row r="198" spans="1:37">
      <c r="A198" s="6">
        <v>182</v>
      </c>
      <c r="B198" s="6" t="s">
        <v>1800</v>
      </c>
      <c r="C198" s="6" t="s">
        <v>1801</v>
      </c>
      <c r="D198" s="6" t="s">
        <v>1802</v>
      </c>
      <c r="E198" s="12" t="s">
        <v>1803</v>
      </c>
      <c r="F198" s="6" t="s">
        <v>73</v>
      </c>
      <c r="G198" s="11">
        <v>2012</v>
      </c>
      <c r="H198" s="6"/>
      <c r="I198" s="13" t="str">
        <f>HYPERLINK("http://www.pivovar-vilem.cz","http://www.pivovar-vilem.cz")</f>
        <v>http://www.pivovar-vilem.cz</v>
      </c>
      <c r="J198" s="13" t="str">
        <f>HYPERLINK("https://www.facebook.com/pivovar.vilem","https://www.facebook.com/pivovar.vilem")</f>
        <v>https://www.facebook.com/pivovar.vilem</v>
      </c>
      <c r="K198" s="6" t="s">
        <v>1804</v>
      </c>
      <c r="L198" s="6"/>
      <c r="M198" s="6" t="s">
        <v>1805</v>
      </c>
      <c r="N198" s="6"/>
      <c r="O198" s="6" t="s">
        <v>1806</v>
      </c>
      <c r="P198" s="6" t="s">
        <v>1807</v>
      </c>
      <c r="Q198" s="6"/>
      <c r="R198" s="6" t="s">
        <v>1808</v>
      </c>
      <c r="S198" s="6">
        <v>49.791116000000002</v>
      </c>
      <c r="T198" s="6">
        <v>13.977703</v>
      </c>
      <c r="U198" s="6"/>
      <c r="V198" s="6"/>
      <c r="W198" s="6"/>
      <c r="X198" s="6"/>
      <c r="Y198" s="6"/>
      <c r="Z198" s="6"/>
      <c r="AA198" s="6"/>
      <c r="AB198" s="6"/>
      <c r="AD198" s="6"/>
      <c r="AE198" s="16"/>
      <c r="AF198" t="str">
        <f t="shared" si="0"/>
        <v/>
      </c>
    </row>
    <row r="199" spans="1:37">
      <c r="A199" s="6">
        <v>183</v>
      </c>
      <c r="B199" s="6" t="s">
        <v>1809</v>
      </c>
      <c r="C199" s="6" t="s">
        <v>1810</v>
      </c>
      <c r="D199" s="6" t="s">
        <v>1811</v>
      </c>
      <c r="E199" s="12" t="s">
        <v>1812</v>
      </c>
      <c r="F199" s="6" t="s">
        <v>73</v>
      </c>
      <c r="G199" s="11">
        <v>2013</v>
      </c>
      <c r="H199" s="6">
        <v>800</v>
      </c>
      <c r="I199" s="13" t="str">
        <f>HYPERLINK("http://www.pivovarohrada.cz","http://www.pivovarohrada.cz")</f>
        <v>http://www.pivovarohrada.cz</v>
      </c>
      <c r="J199" s="13" t="str">
        <f>HYPERLINK("https://www.facebook.com/PivovarOhrada","https://www.facebook.com/PivovarOhrada")</f>
        <v>https://www.facebook.com/PivovarOhrada</v>
      </c>
      <c r="K199" s="6" t="s">
        <v>1813</v>
      </c>
      <c r="L199" s="6"/>
      <c r="M199" s="6" t="s">
        <v>1814</v>
      </c>
      <c r="N199" s="6"/>
      <c r="O199" s="6" t="s">
        <v>1815</v>
      </c>
      <c r="P199" s="6"/>
      <c r="Q199" s="6"/>
      <c r="R199" s="6" t="s">
        <v>1816</v>
      </c>
      <c r="S199" s="6">
        <v>49.5333469999999</v>
      </c>
      <c r="T199" s="6">
        <v>16.625267000000001</v>
      </c>
      <c r="U199" s="6"/>
      <c r="V199" s="6"/>
      <c r="W199" s="6"/>
      <c r="X199" s="6"/>
      <c r="Y199" s="6"/>
      <c r="Z199" s="6" t="s">
        <v>47</v>
      </c>
      <c r="AA199" s="6" t="s">
        <v>47</v>
      </c>
      <c r="AB199" s="6"/>
      <c r="AD199" s="6"/>
      <c r="AE199" s="17" t="s">
        <v>47</v>
      </c>
      <c r="AF199" t="str">
        <f t="shared" si="0"/>
        <v>ANO</v>
      </c>
    </row>
    <row r="200" spans="1:37">
      <c r="A200" s="6">
        <v>184</v>
      </c>
      <c r="B200" s="6" t="s">
        <v>1817</v>
      </c>
      <c r="C200" s="6" t="s">
        <v>1818</v>
      </c>
      <c r="D200" s="6" t="s">
        <v>1819</v>
      </c>
      <c r="E200" s="12" t="s">
        <v>1820</v>
      </c>
      <c r="F200" s="6" t="s">
        <v>73</v>
      </c>
      <c r="G200" s="11">
        <v>2010</v>
      </c>
      <c r="H200" s="6">
        <v>1000</v>
      </c>
      <c r="I200" s="13" t="str">
        <f>HYPERLINK("http://www.vitekzprcice.cz","http://www.vitekzprcice.cz")</f>
        <v>http://www.vitekzprcice.cz</v>
      </c>
      <c r="J200" s="13" t="str">
        <f>HYPERLINK("https://www.facebook.com/VitekzPrcicecz","https://www.facebook.com/VitekzPrcicecz")</f>
        <v>https://www.facebook.com/VitekzPrcicecz</v>
      </c>
      <c r="K200" s="6" t="s">
        <v>1821</v>
      </c>
      <c r="L200" s="6"/>
      <c r="M200" s="6" t="s">
        <v>1822</v>
      </c>
      <c r="N200" s="6"/>
      <c r="O200" s="6" t="s">
        <v>1817</v>
      </c>
      <c r="P200" s="6"/>
      <c r="Q200" s="6"/>
      <c r="R200" s="6" t="s">
        <v>1823</v>
      </c>
      <c r="S200" s="6">
        <v>49.574199</v>
      </c>
      <c r="T200" s="6">
        <v>14.528612000000001</v>
      </c>
      <c r="U200" s="6"/>
      <c r="V200" s="6"/>
      <c r="W200" s="6"/>
      <c r="X200" s="6"/>
      <c r="Y200" s="6"/>
      <c r="Z200" s="6"/>
      <c r="AA200" s="6"/>
      <c r="AB200" s="6"/>
      <c r="AD200" s="6"/>
      <c r="AE200" s="16"/>
      <c r="AF200" t="str">
        <f t="shared" si="0"/>
        <v/>
      </c>
    </row>
    <row r="201" spans="1:37">
      <c r="A201" s="6">
        <v>185</v>
      </c>
      <c r="B201" s="6" t="s">
        <v>1824</v>
      </c>
      <c r="C201" s="6" t="s">
        <v>1825</v>
      </c>
      <c r="D201" s="6" t="s">
        <v>1826</v>
      </c>
      <c r="E201" s="12" t="s">
        <v>1827</v>
      </c>
      <c r="F201" s="6" t="s">
        <v>73</v>
      </c>
      <c r="G201" s="11">
        <v>2013</v>
      </c>
      <c r="H201" s="6">
        <v>500</v>
      </c>
      <c r="I201" s="13" t="str">
        <f>HYPERLINK("http://www.zamecky-dvur.cz","http://www.zamecky-dvur.cz")</f>
        <v>http://www.zamecky-dvur.cz</v>
      </c>
      <c r="J201" s="13" t="str">
        <f>HYPERLINK("https://www.facebook.com/ZameckyPivovarAHostinecUPaniMagdaleny","https://www.facebook.com/ZameckyPivovarAHostinecUPaniMagdaleny")</f>
        <v>https://www.facebook.com/ZameckyPivovarAHostinecUPaniMagdaleny</v>
      </c>
      <c r="K201" s="6" t="s">
        <v>1828</v>
      </c>
      <c r="L201" s="6"/>
      <c r="M201" s="6" t="s">
        <v>1829</v>
      </c>
      <c r="N201" s="6"/>
      <c r="O201" s="6" t="s">
        <v>1824</v>
      </c>
      <c r="P201" s="6" t="s">
        <v>1830</v>
      </c>
      <c r="Q201" s="15" t="s">
        <v>1831</v>
      </c>
      <c r="R201" s="6" t="s">
        <v>1832</v>
      </c>
      <c r="S201" s="6">
        <v>49.873167500000001</v>
      </c>
      <c r="T201" s="6">
        <v>14.110973100000001</v>
      </c>
      <c r="U201" s="6"/>
      <c r="V201" s="6"/>
      <c r="W201" s="6"/>
      <c r="X201" s="6"/>
      <c r="Y201" s="6"/>
      <c r="Z201" s="6" t="s">
        <v>47</v>
      </c>
      <c r="AA201" s="6"/>
      <c r="AB201" s="6"/>
      <c r="AD201" s="6"/>
      <c r="AE201" s="17" t="s">
        <v>47</v>
      </c>
      <c r="AF201" t="str">
        <f t="shared" si="0"/>
        <v>ANO</v>
      </c>
    </row>
    <row r="202" spans="1:37">
      <c r="A202" s="6">
        <v>186</v>
      </c>
      <c r="B202" s="6" t="s">
        <v>1833</v>
      </c>
      <c r="C202" s="6" t="s">
        <v>1834</v>
      </c>
      <c r="D202" s="6" t="s">
        <v>1835</v>
      </c>
      <c r="E202" s="12" t="s">
        <v>1836</v>
      </c>
      <c r="F202" s="6" t="s">
        <v>57</v>
      </c>
      <c r="G202" s="18" t="s">
        <v>1837</v>
      </c>
      <c r="H202" s="6">
        <v>140</v>
      </c>
      <c r="I202" s="13" t="str">
        <f>HYPERLINK("http://pivoxaver.eu","http://pivoxaver.eu")</f>
        <v>http://pivoxaver.eu</v>
      </c>
      <c r="J202" s="6"/>
      <c r="K202" s="6" t="s">
        <v>1839</v>
      </c>
      <c r="L202" s="6"/>
      <c r="M202" s="6" t="s">
        <v>1840</v>
      </c>
      <c r="N202" s="6"/>
      <c r="O202" s="6" t="s">
        <v>1841</v>
      </c>
      <c r="P202" s="6"/>
      <c r="Q202" s="6"/>
      <c r="R202" s="6" t="s">
        <v>1842</v>
      </c>
      <c r="S202" s="6">
        <v>49.056182</v>
      </c>
      <c r="T202" s="6">
        <v>16.6500489999999</v>
      </c>
      <c r="U202" s="6"/>
      <c r="V202" s="6"/>
      <c r="W202" s="6"/>
      <c r="X202" s="6"/>
      <c r="Y202" s="6"/>
      <c r="Z202" s="6"/>
      <c r="AA202" s="6"/>
      <c r="AB202" s="6"/>
      <c r="AD202" s="6"/>
      <c r="AE202" s="16"/>
      <c r="AF202" t="str">
        <f t="shared" si="0"/>
        <v/>
      </c>
    </row>
    <row r="203" spans="1:37">
      <c r="A203" s="6">
        <v>187</v>
      </c>
      <c r="B203" s="6" t="s">
        <v>1843</v>
      </c>
      <c r="C203" s="6" t="s">
        <v>1844</v>
      </c>
      <c r="D203" s="6" t="s">
        <v>1843</v>
      </c>
      <c r="E203" s="12" t="s">
        <v>1845</v>
      </c>
      <c r="F203" s="6" t="s">
        <v>38</v>
      </c>
      <c r="G203" s="11">
        <v>2012</v>
      </c>
      <c r="H203" s="6">
        <v>1000</v>
      </c>
      <c r="I203" s="13" t="str">
        <f>HYPERLINK("http://www.pivovarbratcice.cz","http://www.pivovarbratcice.cz")</f>
        <v>http://www.pivovarbratcice.cz</v>
      </c>
      <c r="J203" s="13" t="str">
        <f>HYPERLINK("https://www.facebook.com/pivovarbratcice","https://www.facebook.com/pivovarbratcice")</f>
        <v>https://www.facebook.com/pivovarbratcice</v>
      </c>
      <c r="K203" s="6" t="s">
        <v>1846</v>
      </c>
      <c r="L203" s="6"/>
      <c r="M203" s="6" t="s">
        <v>1847</v>
      </c>
      <c r="N203" s="6" t="s">
        <v>1848</v>
      </c>
      <c r="O203" s="6" t="s">
        <v>1849</v>
      </c>
      <c r="P203" s="6"/>
      <c r="Q203" s="15" t="s">
        <v>1850</v>
      </c>
      <c r="R203" s="6" t="s">
        <v>1851</v>
      </c>
      <c r="S203" s="6">
        <v>49.063057800000003</v>
      </c>
      <c r="T203" s="6">
        <v>16.516602800000001</v>
      </c>
      <c r="U203" s="6"/>
      <c r="V203" s="6"/>
      <c r="W203" s="6"/>
      <c r="X203" s="6"/>
      <c r="Y203" s="6"/>
      <c r="Z203" s="6"/>
      <c r="AA203" s="6"/>
      <c r="AB203" s="6" t="s">
        <v>47</v>
      </c>
      <c r="AD203" s="6" t="s">
        <v>47</v>
      </c>
      <c r="AE203" s="17" t="s">
        <v>47</v>
      </c>
      <c r="AF203" t="str">
        <f t="shared" si="0"/>
        <v>ANO</v>
      </c>
    </row>
    <row r="204" spans="1:37">
      <c r="A204" s="19">
        <v>188</v>
      </c>
      <c r="B204" s="20" t="s">
        <v>1852</v>
      </c>
      <c r="C204" s="20" t="s">
        <v>1853</v>
      </c>
      <c r="D204" s="20" t="s">
        <v>1854</v>
      </c>
      <c r="E204" s="23" t="s">
        <v>1855</v>
      </c>
      <c r="F204" s="20" t="s">
        <v>113</v>
      </c>
      <c r="G204" s="24">
        <v>2007.2012</v>
      </c>
      <c r="H204" s="19">
        <v>500</v>
      </c>
      <c r="I204" s="20"/>
      <c r="J204" s="20"/>
      <c r="K204" s="16" t="s">
        <v>1856</v>
      </c>
      <c r="L204" s="20"/>
      <c r="M204" s="16" t="s">
        <v>1857</v>
      </c>
      <c r="N204" s="20"/>
      <c r="O204" s="16" t="s">
        <v>1858</v>
      </c>
      <c r="P204" s="16" t="s">
        <v>1852</v>
      </c>
      <c r="Q204" s="20"/>
      <c r="R204" s="20" t="s">
        <v>1859</v>
      </c>
      <c r="S204" s="19">
        <v>49.751556000000001</v>
      </c>
      <c r="T204" s="19">
        <v>13.005718</v>
      </c>
      <c r="U204" s="20"/>
      <c r="V204" s="20"/>
      <c r="W204" s="20"/>
      <c r="X204" s="20"/>
      <c r="Y204" s="20"/>
      <c r="Z204" s="20"/>
      <c r="AA204" s="20"/>
      <c r="AB204" s="20"/>
      <c r="AC204" s="20"/>
      <c r="AD204" s="20"/>
      <c r="AE204" s="20"/>
      <c r="AF204" t="str">
        <f t="shared" si="0"/>
        <v/>
      </c>
      <c r="AG204" s="20"/>
      <c r="AH204" s="20"/>
      <c r="AI204" s="20"/>
      <c r="AJ204" s="20"/>
      <c r="AK204" s="20"/>
    </row>
    <row r="205" spans="1:37">
      <c r="A205" s="6">
        <v>188</v>
      </c>
      <c r="B205" s="6" t="s">
        <v>1860</v>
      </c>
      <c r="C205" s="6" t="s">
        <v>1861</v>
      </c>
      <c r="D205" s="6" t="s">
        <v>1860</v>
      </c>
      <c r="E205" s="12" t="s">
        <v>1862</v>
      </c>
      <c r="F205" s="6" t="s">
        <v>73</v>
      </c>
      <c r="G205" s="11">
        <v>2012</v>
      </c>
      <c r="H205" s="6"/>
      <c r="I205" s="13" t="str">
        <f>HYPERLINK("http://www.pivovarzichovec.cz","http://www.pivovarzichovec.cz")</f>
        <v>http://www.pivovarzichovec.cz</v>
      </c>
      <c r="J205" s="13" t="str">
        <f>HYPERLINK("https://www.facebook.com/pivovarzichovec","https://www.facebook.com/pivovarzichovec")</f>
        <v>https://www.facebook.com/pivovarzichovec</v>
      </c>
      <c r="K205" s="6" t="s">
        <v>1863</v>
      </c>
      <c r="L205" s="6"/>
      <c r="M205" s="6" t="s">
        <v>1864</v>
      </c>
      <c r="N205" s="6"/>
      <c r="O205" s="6" t="s">
        <v>1865</v>
      </c>
      <c r="P205" s="6"/>
      <c r="Q205" s="6"/>
      <c r="R205" s="6" t="s">
        <v>1866</v>
      </c>
      <c r="S205" s="6">
        <v>50.272544199999999</v>
      </c>
      <c r="T205" s="6">
        <v>13.925833300000001</v>
      </c>
      <c r="U205" s="6"/>
      <c r="V205" s="6"/>
      <c r="W205" s="6"/>
      <c r="X205" s="6"/>
      <c r="Y205" s="6"/>
      <c r="Z205" s="6" t="s">
        <v>47</v>
      </c>
      <c r="AA205" s="6"/>
      <c r="AB205" s="6"/>
      <c r="AD205" s="6"/>
      <c r="AE205" s="17" t="s">
        <v>47</v>
      </c>
      <c r="AF205" t="str">
        <f t="shared" si="0"/>
        <v>ANO</v>
      </c>
    </row>
    <row r="206" spans="1:37">
      <c r="A206" s="6">
        <v>189</v>
      </c>
      <c r="B206" s="6" t="s">
        <v>1867</v>
      </c>
      <c r="C206" s="6" t="s">
        <v>1868</v>
      </c>
      <c r="D206" s="6" t="s">
        <v>1869</v>
      </c>
      <c r="E206" s="12" t="s">
        <v>1870</v>
      </c>
      <c r="F206" s="6" t="s">
        <v>73</v>
      </c>
      <c r="G206" s="11">
        <v>1994</v>
      </c>
      <c r="H206" s="6">
        <v>1000</v>
      </c>
      <c r="I206" s="13" t="str">
        <f>HYPERLINK("http://www.pivovar-zvikov.cz","http://www.pivovar-zvikov.cz")</f>
        <v>http://www.pivovar-zvikov.cz</v>
      </c>
      <c r="J206" s="6"/>
      <c r="K206" s="6" t="s">
        <v>1871</v>
      </c>
      <c r="L206" s="6"/>
      <c r="M206" s="6" t="s">
        <v>1872</v>
      </c>
      <c r="N206" s="6"/>
      <c r="O206" s="6" t="s">
        <v>1873</v>
      </c>
      <c r="P206" s="6" t="s">
        <v>1868</v>
      </c>
      <c r="Q206" s="6"/>
      <c r="R206" s="6" t="s">
        <v>1874</v>
      </c>
      <c r="S206" s="6">
        <v>49.4308049999999</v>
      </c>
      <c r="T206" s="6">
        <v>14.1982979999999</v>
      </c>
      <c r="U206" s="6"/>
      <c r="V206" s="6"/>
      <c r="W206" s="6"/>
      <c r="X206" s="6"/>
      <c r="Y206" s="6"/>
      <c r="Z206" s="6"/>
      <c r="AA206" s="6" t="s">
        <v>47</v>
      </c>
      <c r="AB206" s="6"/>
      <c r="AD206" s="6"/>
      <c r="AE206" s="16"/>
      <c r="AF206" t="str">
        <f t="shared" si="0"/>
        <v>ANO</v>
      </c>
    </row>
    <row r="207" spans="1:37">
      <c r="A207" s="6">
        <v>190</v>
      </c>
      <c r="B207" s="6" t="s">
        <v>1875</v>
      </c>
      <c r="C207" s="6" t="s">
        <v>1876</v>
      </c>
      <c r="D207" s="6" t="s">
        <v>1877</v>
      </c>
      <c r="E207" s="12" t="s">
        <v>1878</v>
      </c>
      <c r="F207" s="6" t="s">
        <v>57</v>
      </c>
      <c r="G207" s="11">
        <v>2013</v>
      </c>
      <c r="H207" s="6">
        <v>400</v>
      </c>
      <c r="I207" s="13" t="str">
        <f>HYPERLINK("https://www.minipivovarudyje.cz","https://www.minipivovarudyje.cz")</f>
        <v>https://www.minipivovarudyje.cz</v>
      </c>
      <c r="J207" s="6"/>
      <c r="K207" s="6" t="s">
        <v>1879</v>
      </c>
      <c r="L207" s="6"/>
      <c r="M207" s="6" t="s">
        <v>1880</v>
      </c>
      <c r="N207" s="6"/>
      <c r="O207" s="6" t="s">
        <v>1881</v>
      </c>
      <c r="P207" s="6"/>
      <c r="Q207" s="6"/>
      <c r="R207" s="6" t="s">
        <v>1882</v>
      </c>
      <c r="S207" s="6">
        <v>48.835554000000002</v>
      </c>
      <c r="T207" s="6">
        <v>16.056128999999899</v>
      </c>
      <c r="U207" s="6"/>
      <c r="V207" s="6"/>
      <c r="W207" s="6"/>
      <c r="X207" s="6"/>
      <c r="Y207" s="6"/>
      <c r="Z207" s="6"/>
      <c r="AA207" s="6"/>
      <c r="AB207" s="6"/>
      <c r="AD207" s="6"/>
      <c r="AE207" s="16"/>
      <c r="AF207" t="str">
        <f t="shared" si="0"/>
        <v/>
      </c>
    </row>
    <row r="208" spans="1:37">
      <c r="A208" s="6">
        <v>191</v>
      </c>
      <c r="B208" s="6" t="s">
        <v>1883</v>
      </c>
      <c r="C208" s="6" t="s">
        <v>1884</v>
      </c>
      <c r="D208" s="6" t="s">
        <v>1885</v>
      </c>
      <c r="E208" s="12" t="s">
        <v>1886</v>
      </c>
      <c r="F208" s="6" t="s">
        <v>73</v>
      </c>
      <c r="G208" s="11">
        <v>2012</v>
      </c>
      <c r="H208" s="6"/>
      <c r="I208" s="13" t="str">
        <f>HYPERLINK("http://www.uzlatehosrnce.cz","http://www.uzlatehosrnce.cz")</f>
        <v>http://www.uzlatehosrnce.cz</v>
      </c>
      <c r="J208" s="6"/>
      <c r="K208" s="6" t="s">
        <v>1887</v>
      </c>
      <c r="L208" s="6"/>
      <c r="M208" s="6" t="s">
        <v>1888</v>
      </c>
      <c r="N208" s="6"/>
      <c r="O208" s="6" t="s">
        <v>1889</v>
      </c>
      <c r="P208" s="6" t="s">
        <v>1890</v>
      </c>
      <c r="Q208" s="6"/>
      <c r="R208" s="6" t="s">
        <v>1891</v>
      </c>
      <c r="S208" s="6">
        <v>49.084541000000002</v>
      </c>
      <c r="T208" s="6">
        <v>13.4646589999999</v>
      </c>
      <c r="U208" s="6"/>
      <c r="V208" s="6"/>
      <c r="W208" s="6"/>
      <c r="X208" s="6"/>
      <c r="Y208" s="6"/>
      <c r="Z208" s="6"/>
      <c r="AA208" s="6"/>
      <c r="AB208" s="6"/>
      <c r="AD208" s="6"/>
      <c r="AE208" s="16"/>
      <c r="AF208" t="str">
        <f t="shared" si="0"/>
        <v/>
      </c>
    </row>
    <row r="209" spans="1:37">
      <c r="A209" s="6">
        <v>192</v>
      </c>
      <c r="B209" s="6" t="s">
        <v>1892</v>
      </c>
      <c r="C209" s="6" t="s">
        <v>1893</v>
      </c>
      <c r="D209" s="6" t="s">
        <v>1894</v>
      </c>
      <c r="E209" s="12" t="s">
        <v>1895</v>
      </c>
      <c r="F209" s="6" t="s">
        <v>38</v>
      </c>
      <c r="G209" s="11">
        <v>2008</v>
      </c>
      <c r="H209" s="6">
        <v>2600</v>
      </c>
      <c r="I209" s="13" t="str">
        <f>HYPERLINK("http://zlinskysvec.cz","http://zlinskysvec.cz")</f>
        <v>http://zlinskysvec.cz</v>
      </c>
      <c r="J209" s="15" t="s">
        <v>1896</v>
      </c>
      <c r="K209" s="6" t="s">
        <v>1897</v>
      </c>
      <c r="L209" s="6"/>
      <c r="M209" s="6" t="s">
        <v>1893</v>
      </c>
      <c r="N209" s="6" t="s">
        <v>1898</v>
      </c>
      <c r="O209" s="6" t="s">
        <v>1899</v>
      </c>
      <c r="P209" s="6"/>
      <c r="Q209" s="15" t="s">
        <v>1900</v>
      </c>
      <c r="R209" s="6" t="s">
        <v>1901</v>
      </c>
      <c r="S209" s="6">
        <v>49.205609000000003</v>
      </c>
      <c r="T209" s="6">
        <v>17.597145000000001</v>
      </c>
      <c r="U209" s="6"/>
      <c r="V209" s="6"/>
      <c r="W209" s="6"/>
      <c r="X209" s="6"/>
      <c r="Y209" s="6"/>
      <c r="Z209" s="6"/>
      <c r="AA209" s="6"/>
      <c r="AB209" s="6"/>
      <c r="AD209" s="6"/>
      <c r="AE209" s="17" t="s">
        <v>47</v>
      </c>
      <c r="AF209" t="str">
        <f t="shared" si="0"/>
        <v>ANO</v>
      </c>
    </row>
    <row r="210" spans="1:37">
      <c r="A210" s="6">
        <v>193</v>
      </c>
      <c r="B210" s="6" t="s">
        <v>1904</v>
      </c>
      <c r="C210" s="6" t="s">
        <v>1905</v>
      </c>
      <c r="D210" s="6" t="s">
        <v>1906</v>
      </c>
      <c r="E210" s="12" t="s">
        <v>1907</v>
      </c>
      <c r="F210" s="6" t="s">
        <v>73</v>
      </c>
      <c r="G210" s="11">
        <v>2012</v>
      </c>
      <c r="H210" s="6"/>
      <c r="I210" s="13" t="str">
        <f>HYPERLINK("http://www.hoteluholubu.cz","http://www.hoteluholubu.cz")</f>
        <v>http://www.hoteluholubu.cz</v>
      </c>
      <c r="J210" s="13" t="str">
        <f>HYPERLINK("https://www.facebook.com/minipivovarzobak","https://www.facebook.com/minipivovarzobak")</f>
        <v>https://www.facebook.com/minipivovarzobak</v>
      </c>
      <c r="K210" s="6" t="s">
        <v>1908</v>
      </c>
      <c r="L210" s="6"/>
      <c r="M210" s="6" t="s">
        <v>1909</v>
      </c>
      <c r="N210" s="6"/>
      <c r="O210" s="6" t="s">
        <v>1904</v>
      </c>
      <c r="P210" s="6" t="s">
        <v>1910</v>
      </c>
      <c r="Q210" s="15" t="s">
        <v>1911</v>
      </c>
      <c r="R210" s="6" t="s">
        <v>1912</v>
      </c>
      <c r="S210" s="6">
        <v>49.760016</v>
      </c>
      <c r="T210" s="6">
        <v>18.019853000000001</v>
      </c>
      <c r="U210" s="6"/>
      <c r="V210" s="6"/>
      <c r="W210" s="6"/>
      <c r="X210" s="6"/>
      <c r="Y210" s="6" t="s">
        <v>47</v>
      </c>
      <c r="Z210" s="6" t="s">
        <v>47</v>
      </c>
      <c r="AA210" s="6"/>
      <c r="AB210" s="6" t="s">
        <v>47</v>
      </c>
      <c r="AD210" s="6" t="s">
        <v>47</v>
      </c>
      <c r="AE210" s="17" t="s">
        <v>47</v>
      </c>
      <c r="AF210" t="str">
        <f t="shared" si="0"/>
        <v>ANO</v>
      </c>
    </row>
    <row r="211" spans="1:37">
      <c r="A211" s="6">
        <v>194</v>
      </c>
      <c r="B211" s="6" t="s">
        <v>1913</v>
      </c>
      <c r="C211" s="6" t="s">
        <v>1914</v>
      </c>
      <c r="D211" s="32" t="s">
        <v>1153</v>
      </c>
      <c r="E211" s="12" t="s">
        <v>1915</v>
      </c>
      <c r="F211" s="6" t="s">
        <v>91</v>
      </c>
      <c r="G211" s="11">
        <v>1872</v>
      </c>
      <c r="H211" s="6">
        <v>255000</v>
      </c>
      <c r="I211" s="13" t="str">
        <f>HYPERLINK("http://www.zubr.cz","http://www.zubr.cz")</f>
        <v>http://www.zubr.cz</v>
      </c>
      <c r="J211" s="13" t="str">
        <f>HYPERLINK("https://www.facebook.com/PivovarZubr","https://www.facebook.com/PivovarZubr")</f>
        <v>https://www.facebook.com/PivovarZubr</v>
      </c>
      <c r="K211" s="32" t="s">
        <v>1916</v>
      </c>
      <c r="L211" s="6" t="s">
        <v>502</v>
      </c>
      <c r="M211" s="32" t="s">
        <v>1917</v>
      </c>
      <c r="N211" s="6"/>
      <c r="O211" s="6" t="s">
        <v>1918</v>
      </c>
      <c r="P211" s="32"/>
      <c r="Q211" s="6"/>
      <c r="R211" s="6" t="s">
        <v>1919</v>
      </c>
      <c r="S211" s="6">
        <v>49.450297999999897</v>
      </c>
      <c r="T211" s="6">
        <v>17.4476669999999</v>
      </c>
      <c r="U211" s="6"/>
      <c r="V211" s="6"/>
      <c r="W211" s="6"/>
      <c r="X211" s="6"/>
      <c r="Y211" s="6"/>
      <c r="Z211" s="6"/>
      <c r="AA211" s="6"/>
      <c r="AB211" s="6"/>
      <c r="AD211" s="6"/>
      <c r="AE211" s="16"/>
      <c r="AF211" t="str">
        <f t="shared" si="0"/>
        <v/>
      </c>
    </row>
    <row r="212" spans="1:37">
      <c r="A212" s="6">
        <v>195</v>
      </c>
      <c r="B212" s="6" t="s">
        <v>1920</v>
      </c>
      <c r="C212" s="6" t="s">
        <v>1921</v>
      </c>
      <c r="D212" s="6" t="s">
        <v>1920</v>
      </c>
      <c r="E212" s="12" t="s">
        <v>1922</v>
      </c>
      <c r="F212" s="6" t="s">
        <v>73</v>
      </c>
      <c r="G212" s="11">
        <v>1997</v>
      </c>
      <c r="H212" s="6">
        <v>250</v>
      </c>
      <c r="I212" s="13" t="str">
        <f>HYPERLINK("http://pivovarzamberk.cz","http://pivovarzamberk.cz")</f>
        <v>http://pivovarzamberk.cz</v>
      </c>
      <c r="J212" s="13" t="str">
        <f>HYPERLINK("https://www.facebook.com/zamberecky.kanec","https://www.facebook.com/zamberecky.kanec")</f>
        <v>https://www.facebook.com/zamberecky.kanec</v>
      </c>
      <c r="K212" s="6" t="s">
        <v>1923</v>
      </c>
      <c r="L212" s="6"/>
      <c r="M212" s="6" t="s">
        <v>1924</v>
      </c>
      <c r="N212" s="6"/>
      <c r="O212" s="6" t="s">
        <v>1925</v>
      </c>
      <c r="P212" s="6"/>
      <c r="Q212" s="15" t="s">
        <v>1926</v>
      </c>
      <c r="R212" s="6" t="s">
        <v>1927</v>
      </c>
      <c r="S212" s="6">
        <v>50.0871061</v>
      </c>
      <c r="T212" s="6">
        <v>16.4607931</v>
      </c>
      <c r="U212" s="6"/>
      <c r="V212" s="6"/>
      <c r="W212" s="6"/>
      <c r="X212" s="6" t="s">
        <v>47</v>
      </c>
      <c r="Y212" s="6" t="s">
        <v>47</v>
      </c>
      <c r="Z212" s="6" t="s">
        <v>47</v>
      </c>
      <c r="AA212" s="6"/>
      <c r="AB212" s="6" t="s">
        <v>47</v>
      </c>
      <c r="AD212" s="6" t="s">
        <v>47</v>
      </c>
      <c r="AE212" s="17" t="s">
        <v>47</v>
      </c>
      <c r="AF212" t="str">
        <f t="shared" si="0"/>
        <v>ANO</v>
      </c>
    </row>
    <row r="213" spans="1:37">
      <c r="A213" s="6">
        <v>196</v>
      </c>
      <c r="B213" s="6" t="s">
        <v>1928</v>
      </c>
      <c r="C213" s="6" t="s">
        <v>1929</v>
      </c>
      <c r="D213" s="6" t="s">
        <v>1930</v>
      </c>
      <c r="E213" s="12" t="s">
        <v>1931</v>
      </c>
      <c r="F213" s="6" t="s">
        <v>91</v>
      </c>
      <c r="G213" s="11">
        <v>1801</v>
      </c>
      <c r="H213" s="6">
        <v>35000</v>
      </c>
      <c r="I213" s="13" t="str">
        <f>HYPERLINK("http://www.zateckypivovar.cz","http://www.zateckypivovar.cz")</f>
        <v>http://www.zateckypivovar.cz</v>
      </c>
      <c r="J213" s="13" t="str">
        <f>HYPERLINK("https://www.facebook.com/Pivovarzatec","https://www.facebook.com/Pivovarzatec")</f>
        <v>https://www.facebook.com/Pivovarzatec</v>
      </c>
      <c r="K213" s="6" t="s">
        <v>1932</v>
      </c>
      <c r="L213" s="6" t="s">
        <v>1933</v>
      </c>
      <c r="M213" s="6" t="s">
        <v>1934</v>
      </c>
      <c r="N213" s="6"/>
      <c r="O213" s="6" t="s">
        <v>1935</v>
      </c>
      <c r="P213" s="6"/>
      <c r="Q213" s="6"/>
      <c r="R213" s="6" t="s">
        <v>1936</v>
      </c>
      <c r="S213" s="6">
        <v>50.332239000000001</v>
      </c>
      <c r="T213" s="6">
        <v>13.541847000000001</v>
      </c>
      <c r="U213" s="6"/>
      <c r="V213" s="6"/>
      <c r="W213" s="6"/>
      <c r="X213" s="6"/>
      <c r="Y213" s="6"/>
      <c r="Z213" s="6"/>
      <c r="AA213" s="6"/>
      <c r="AB213" s="6"/>
      <c r="AD213" s="6"/>
      <c r="AE213" s="17" t="s">
        <v>47</v>
      </c>
      <c r="AF213" t="str">
        <f t="shared" si="0"/>
        <v>ANO</v>
      </c>
    </row>
    <row r="214" spans="1:37">
      <c r="A214" s="6">
        <v>197</v>
      </c>
      <c r="B214" s="6" t="s">
        <v>1938</v>
      </c>
      <c r="C214" s="6" t="s">
        <v>1939</v>
      </c>
      <c r="D214" s="6" t="s">
        <v>1930</v>
      </c>
      <c r="E214" s="12" t="s">
        <v>1940</v>
      </c>
      <c r="F214" s="6" t="s">
        <v>73</v>
      </c>
      <c r="G214" s="11">
        <v>2010</v>
      </c>
      <c r="H214" s="6">
        <v>500</v>
      </c>
      <c r="I214" s="13" t="str">
        <f>HYPERLINK("http://chchp.cz","http://chchp.cz")</f>
        <v>http://chchp.cz</v>
      </c>
      <c r="J214" s="13" t="str">
        <f>HYPERLINK("https://www.facebook.com/minipivovaruorloje","https://www.facebook.com/minipivovaruorloje")</f>
        <v>https://www.facebook.com/minipivovaruorloje</v>
      </c>
      <c r="K214" s="6" t="s">
        <v>1941</v>
      </c>
      <c r="L214" s="6"/>
      <c r="M214" s="6" t="s">
        <v>1942</v>
      </c>
      <c r="N214" s="6"/>
      <c r="O214" s="6" t="s">
        <v>1943</v>
      </c>
      <c r="P214" s="6"/>
      <c r="Q214" s="6"/>
      <c r="R214" s="6" t="s">
        <v>1944</v>
      </c>
      <c r="S214" s="6">
        <v>50.324610300000003</v>
      </c>
      <c r="T214" s="6">
        <v>13.5447297</v>
      </c>
      <c r="U214" s="6"/>
      <c r="V214" s="6"/>
      <c r="W214" s="6"/>
      <c r="X214" s="6"/>
      <c r="Y214" s="6"/>
      <c r="Z214" s="6" t="s">
        <v>47</v>
      </c>
      <c r="AA214" s="6"/>
      <c r="AB214" s="6"/>
      <c r="AD214" s="6"/>
      <c r="AE214" s="17" t="s">
        <v>47</v>
      </c>
      <c r="AF214" t="str">
        <f t="shared" si="0"/>
        <v>ANO</v>
      </c>
    </row>
    <row r="215" spans="1:37">
      <c r="A215" s="6">
        <v>198</v>
      </c>
      <c r="B215" s="6" t="s">
        <v>1945</v>
      </c>
      <c r="C215" s="6" t="s">
        <v>1946</v>
      </c>
      <c r="D215" s="6" t="s">
        <v>1947</v>
      </c>
      <c r="E215" s="12" t="s">
        <v>1948</v>
      </c>
      <c r="F215" s="6" t="s">
        <v>73</v>
      </c>
      <c r="G215" s="11">
        <v>2011</v>
      </c>
      <c r="H215" s="6">
        <v>250</v>
      </c>
      <c r="I215" s="13" t="str">
        <f>HYPERLINK("http://zeliv.eu","http://zeliv.eu")</f>
        <v>http://zeliv.eu</v>
      </c>
      <c r="J215" s="31" t="s">
        <v>1949</v>
      </c>
      <c r="K215" s="6" t="s">
        <v>1950</v>
      </c>
      <c r="L215" s="6"/>
      <c r="M215" s="6" t="s">
        <v>1951</v>
      </c>
      <c r="N215" s="6"/>
      <c r="O215" s="6" t="s">
        <v>1952</v>
      </c>
      <c r="P215" s="6"/>
      <c r="Q215" s="15" t="s">
        <v>1953</v>
      </c>
      <c r="R215" s="6" t="s">
        <v>1954</v>
      </c>
      <c r="S215" s="6">
        <v>49.5296211</v>
      </c>
      <c r="T215" s="6">
        <v>15.2142231</v>
      </c>
      <c r="U215" s="6"/>
      <c r="V215" s="6"/>
      <c r="W215" s="6"/>
      <c r="X215" s="6"/>
      <c r="Y215" s="6"/>
      <c r="Z215" s="6"/>
      <c r="AA215" s="6" t="s">
        <v>47</v>
      </c>
      <c r="AB215" s="6"/>
      <c r="AD215" s="6"/>
      <c r="AE215" s="17" t="s">
        <v>47</v>
      </c>
      <c r="AF215" t="str">
        <f t="shared" si="0"/>
        <v>ANO</v>
      </c>
    </row>
    <row r="216" spans="1:37">
      <c r="A216" s="6">
        <v>199</v>
      </c>
      <c r="B216" s="6" t="s">
        <v>1955</v>
      </c>
      <c r="C216" s="6" t="s">
        <v>1956</v>
      </c>
      <c r="D216" s="6" t="s">
        <v>1955</v>
      </c>
      <c r="E216" s="12" t="s">
        <v>1957</v>
      </c>
      <c r="F216" s="6" t="s">
        <v>57</v>
      </c>
      <c r="G216" s="11">
        <v>2011</v>
      </c>
      <c r="H216" s="6"/>
      <c r="I216" s="6"/>
      <c r="J216" s="13" t="str">
        <f>HYPERLINK("https://www.facebook.com/MinipivovarZumberk","https://www.facebook.com/MinipivovarZumberk")</f>
        <v>https://www.facebook.com/MinipivovarZumberk</v>
      </c>
      <c r="K216" s="6" t="s">
        <v>1958</v>
      </c>
      <c r="L216" s="6"/>
      <c r="M216" s="6" t="s">
        <v>1959</v>
      </c>
      <c r="N216" s="6"/>
      <c r="O216" s="6" t="s">
        <v>1955</v>
      </c>
      <c r="P216" s="6"/>
      <c r="Q216" s="6"/>
      <c r="R216" s="6" t="s">
        <v>1960</v>
      </c>
      <c r="S216" s="6">
        <v>48.7964786</v>
      </c>
      <c r="T216" s="6">
        <v>14.681794699999999</v>
      </c>
      <c r="U216" s="6"/>
      <c r="V216" s="6"/>
      <c r="W216" s="6"/>
      <c r="X216" s="6"/>
      <c r="Y216" s="6"/>
      <c r="Z216" s="6"/>
      <c r="AA216" s="6"/>
      <c r="AB216" s="6"/>
      <c r="AD216" s="6"/>
      <c r="AE216" s="16"/>
      <c r="AF216" t="str">
        <f t="shared" si="0"/>
        <v/>
      </c>
    </row>
    <row r="217" spans="1:37">
      <c r="A217" s="6">
        <v>200</v>
      </c>
      <c r="B217" s="6" t="s">
        <v>1961</v>
      </c>
      <c r="C217" s="6" t="s">
        <v>1962</v>
      </c>
      <c r="D217" s="6" t="s">
        <v>1963</v>
      </c>
      <c r="E217" s="12" t="s">
        <v>1964</v>
      </c>
      <c r="F217" s="6" t="s">
        <v>57</v>
      </c>
      <c r="G217" s="11">
        <v>2013</v>
      </c>
      <c r="H217" s="6"/>
      <c r="I217" s="13" t="str">
        <f>HYPERLINK("http://www.pivovarmordyr.cz","http://www.pivovarmordyr.cz")</f>
        <v>http://www.pivovarmordyr.cz</v>
      </c>
      <c r="J217" s="13" t="str">
        <f>HYPERLINK("https://www.facebook.com/Pivovar-Mordýř-563626057021976","https://www.facebook.com/Pivovar-Mordýř-563626057021976")</f>
        <v>https://www.facebook.com/Pivovar-Mordýř-563626057021976</v>
      </c>
      <c r="K217" s="6" t="s">
        <v>1965</v>
      </c>
      <c r="L217" s="6"/>
      <c r="M217" s="6" t="s">
        <v>1966</v>
      </c>
      <c r="N217" s="6"/>
      <c r="O217" s="6" t="s">
        <v>1967</v>
      </c>
      <c r="P217" s="6"/>
      <c r="Q217" s="15" t="s">
        <v>1968</v>
      </c>
      <c r="R217" s="6" t="s">
        <v>1969</v>
      </c>
      <c r="S217" s="6">
        <v>50.076073600000001</v>
      </c>
      <c r="T217" s="6">
        <v>15.9196489</v>
      </c>
      <c r="U217" s="6"/>
      <c r="V217" s="6"/>
      <c r="W217" s="6"/>
      <c r="X217" s="6"/>
      <c r="Y217" s="6" t="s">
        <v>47</v>
      </c>
      <c r="Z217" s="6" t="s">
        <v>47</v>
      </c>
      <c r="AA217" s="6"/>
      <c r="AB217" s="6"/>
      <c r="AD217" s="6"/>
      <c r="AE217" s="17" t="s">
        <v>47</v>
      </c>
      <c r="AF217" t="str">
        <f t="shared" si="0"/>
        <v>ANO</v>
      </c>
    </row>
    <row r="218" spans="1:37">
      <c r="A218" s="6">
        <v>201</v>
      </c>
      <c r="B218" s="6" t="s">
        <v>1970</v>
      </c>
      <c r="C218" s="6" t="s">
        <v>1971</v>
      </c>
      <c r="D218" s="6" t="s">
        <v>1972</v>
      </c>
      <c r="E218" s="12" t="s">
        <v>1973</v>
      </c>
      <c r="F218" s="6" t="s">
        <v>38</v>
      </c>
      <c r="G218" s="11">
        <v>2013</v>
      </c>
      <c r="H218" s="6">
        <v>800</v>
      </c>
      <c r="I218" s="13" t="str">
        <f>HYPERLINK("http://www.pivovarbobr.cz","http://www.pivovarbobr.cz")</f>
        <v>http://www.pivovarbobr.cz</v>
      </c>
      <c r="J218" s="13" t="str">
        <f>HYPERLINK("https://www.facebook.com/pivobobr","https://www.facebook.com/pivobobr")</f>
        <v>https://www.facebook.com/pivobobr</v>
      </c>
      <c r="K218" s="6" t="s">
        <v>1974</v>
      </c>
      <c r="L218" s="6"/>
      <c r="M218" s="6" t="s">
        <v>1975</v>
      </c>
      <c r="N218" s="6"/>
      <c r="O218" s="6" t="s">
        <v>1970</v>
      </c>
      <c r="P218" s="6" t="s">
        <v>1976</v>
      </c>
      <c r="Q218" s="6"/>
      <c r="R218" s="6" t="s">
        <v>1977</v>
      </c>
      <c r="S218" s="6">
        <v>49.919684199999999</v>
      </c>
      <c r="T218" s="6">
        <v>14.209605</v>
      </c>
      <c r="U218" s="6"/>
      <c r="V218" s="6"/>
      <c r="W218" s="6"/>
      <c r="X218" s="6"/>
      <c r="Y218" s="6"/>
      <c r="Z218" s="6" t="s">
        <v>47</v>
      </c>
      <c r="AA218" s="6"/>
      <c r="AB218" s="6"/>
      <c r="AD218" s="6"/>
      <c r="AE218" s="17" t="s">
        <v>47</v>
      </c>
      <c r="AF218" t="str">
        <f t="shared" si="0"/>
        <v>ANO</v>
      </c>
    </row>
    <row r="219" spans="1:37">
      <c r="A219" s="6">
        <v>202</v>
      </c>
      <c r="B219" s="6" t="s">
        <v>1978</v>
      </c>
      <c r="C219" s="6" t="s">
        <v>1979</v>
      </c>
      <c r="D219" s="6" t="s">
        <v>1980</v>
      </c>
      <c r="E219" s="12" t="s">
        <v>1981</v>
      </c>
      <c r="F219" s="6" t="s">
        <v>73</v>
      </c>
      <c r="G219" s="11">
        <v>2013</v>
      </c>
      <c r="H219" s="6">
        <v>1000</v>
      </c>
      <c r="I219" s="13" t="str">
        <f>HYPERLINK("http://www.pivofalkenstejn.cz","http://www.pivofalkenstejn.cz")</f>
        <v>http://www.pivofalkenstejn.cz</v>
      </c>
      <c r="J219" s="13" t="str">
        <f>HYPERLINK("https://www.facebook.com/PivoFalkenstejn","https://www.facebook.com/PivoFalkenstejn")</f>
        <v>https://www.facebook.com/PivoFalkenstejn</v>
      </c>
      <c r="K219" s="6" t="s">
        <v>1982</v>
      </c>
      <c r="L219" s="6"/>
      <c r="M219" s="6" t="s">
        <v>1983</v>
      </c>
      <c r="N219" s="6"/>
      <c r="O219" s="6" t="s">
        <v>1984</v>
      </c>
      <c r="P219" s="6" t="s">
        <v>1985</v>
      </c>
      <c r="Q219" s="6"/>
      <c r="R219" s="6" t="s">
        <v>1986</v>
      </c>
      <c r="S219" s="6">
        <v>50.913967</v>
      </c>
      <c r="T219" s="6">
        <v>14.507649000000001</v>
      </c>
      <c r="U219" s="6"/>
      <c r="V219" s="6"/>
      <c r="W219" s="6"/>
      <c r="X219" s="6"/>
      <c r="Y219" s="6" t="s">
        <v>47</v>
      </c>
      <c r="Z219" s="6"/>
      <c r="AA219" s="6"/>
      <c r="AB219" s="6"/>
      <c r="AD219" s="6"/>
      <c r="AE219" s="17" t="s">
        <v>47</v>
      </c>
      <c r="AF219" t="str">
        <f t="shared" si="0"/>
        <v>ANO</v>
      </c>
    </row>
    <row r="220" spans="1:37">
      <c r="A220" s="6">
        <v>203</v>
      </c>
      <c r="B220" s="6" t="s">
        <v>1987</v>
      </c>
      <c r="C220" s="6" t="s">
        <v>1988</v>
      </c>
      <c r="D220" s="6" t="s">
        <v>1989</v>
      </c>
      <c r="E220" s="12" t="s">
        <v>1990</v>
      </c>
      <c r="F220" s="6" t="s">
        <v>57</v>
      </c>
      <c r="G220" s="11">
        <v>2013</v>
      </c>
      <c r="H220" s="6"/>
      <c r="I220" s="13" t="str">
        <f>HYPERLINK("http://www.pivovar-hradek.cz","http://www.pivovar-hradek.cz")</f>
        <v>http://www.pivovar-hradek.cz</v>
      </c>
      <c r="J220" s="13" t="str">
        <f>HYPERLINK("https://www.facebook.com/PivovarHradek","https://www.facebook.com/PivovarHradek")</f>
        <v>https://www.facebook.com/PivovarHradek</v>
      </c>
      <c r="K220" s="6" t="s">
        <v>1991</v>
      </c>
      <c r="L220" s="6"/>
      <c r="M220" s="6" t="s">
        <v>1992</v>
      </c>
      <c r="N220" s="6" t="s">
        <v>1993</v>
      </c>
      <c r="O220" s="6" t="s">
        <v>1994</v>
      </c>
      <c r="P220" s="6" t="s">
        <v>1995</v>
      </c>
      <c r="Q220" s="15" t="s">
        <v>1996</v>
      </c>
      <c r="R220" s="6" t="s">
        <v>1997</v>
      </c>
      <c r="S220" s="6">
        <v>49.074100999999899</v>
      </c>
      <c r="T220" s="6">
        <v>17.889088000000001</v>
      </c>
      <c r="U220" s="6"/>
      <c r="V220" s="6"/>
      <c r="W220" s="6"/>
      <c r="X220" s="6"/>
      <c r="Y220" s="6"/>
      <c r="Z220" s="6"/>
      <c r="AA220" s="6" t="s">
        <v>47</v>
      </c>
      <c r="AB220" s="6"/>
      <c r="AD220" s="6"/>
      <c r="AE220" s="17" t="s">
        <v>47</v>
      </c>
      <c r="AF220" t="str">
        <f t="shared" si="0"/>
        <v>ANO</v>
      </c>
    </row>
    <row r="221" spans="1:37">
      <c r="A221" s="6">
        <v>204</v>
      </c>
      <c r="B221" s="6" t="s">
        <v>1998</v>
      </c>
      <c r="C221" s="6" t="s">
        <v>1999</v>
      </c>
      <c r="D221" s="6" t="s">
        <v>1254</v>
      </c>
      <c r="E221" s="12" t="s">
        <v>2000</v>
      </c>
      <c r="F221" s="12" t="s">
        <v>848</v>
      </c>
      <c r="G221" s="18">
        <v>2014.2018</v>
      </c>
      <c r="H221" s="6"/>
      <c r="I221" s="13" t="str">
        <f>HYPERLINK("http://www.grandhotelcernyorel.cz","http://www.grandhotelcernyorel.cz")</f>
        <v>http://www.grandhotelcernyorel.cz</v>
      </c>
      <c r="J221" s="6"/>
      <c r="K221" s="6" t="s">
        <v>2002</v>
      </c>
      <c r="L221" s="6"/>
      <c r="M221" s="6" t="s">
        <v>2003</v>
      </c>
      <c r="N221" s="34"/>
      <c r="O221" s="6" t="s">
        <v>2004</v>
      </c>
      <c r="P221" s="6" t="s">
        <v>2005</v>
      </c>
      <c r="Q221" s="15" t="s">
        <v>2006</v>
      </c>
      <c r="R221" s="6" t="s">
        <v>2008</v>
      </c>
      <c r="S221" s="6">
        <v>49.143471099999999</v>
      </c>
      <c r="T221" s="6">
        <v>15.0033628</v>
      </c>
      <c r="U221" s="6"/>
      <c r="V221" s="6"/>
      <c r="W221" s="6"/>
      <c r="X221" s="6"/>
      <c r="Y221" s="6"/>
      <c r="Z221" s="6"/>
      <c r="AA221" s="6"/>
      <c r="AB221" s="6"/>
      <c r="AD221" s="6"/>
      <c r="AE221" s="17" t="s">
        <v>47</v>
      </c>
      <c r="AF221" t="str">
        <f t="shared" si="0"/>
        <v>ANO</v>
      </c>
    </row>
    <row r="222" spans="1:37">
      <c r="A222" s="6">
        <v>205</v>
      </c>
      <c r="B222" s="6" t="s">
        <v>2009</v>
      </c>
      <c r="C222" s="6" t="s">
        <v>2010</v>
      </c>
      <c r="D222" s="6" t="s">
        <v>2011</v>
      </c>
      <c r="E222" s="12" t="s">
        <v>2012</v>
      </c>
      <c r="F222" s="6" t="s">
        <v>73</v>
      </c>
      <c r="G222" s="11">
        <v>2013</v>
      </c>
      <c r="H222" s="6"/>
      <c r="I222" s="31" t="s">
        <v>2013</v>
      </c>
      <c r="J222" s="13" t="str">
        <f>HYPERLINK("https://www.facebook.com/arealfriesovyboudy","https://www.facebook.com/arealfriesovyboudy")</f>
        <v>https://www.facebook.com/arealfriesovyboudy</v>
      </c>
      <c r="K222" s="6" t="s">
        <v>2014</v>
      </c>
      <c r="L222" s="6"/>
      <c r="M222" s="6" t="s">
        <v>2015</v>
      </c>
      <c r="N222" s="6"/>
      <c r="O222" s="6" t="s">
        <v>2009</v>
      </c>
      <c r="P222" s="6" t="s">
        <v>2016</v>
      </c>
      <c r="Q222" s="6"/>
      <c r="R222" s="6" t="s">
        <v>2017</v>
      </c>
      <c r="S222" s="6">
        <v>50.7000829999999</v>
      </c>
      <c r="T222" s="6">
        <v>15.6515989999999</v>
      </c>
      <c r="U222" s="6"/>
      <c r="V222" s="6"/>
      <c r="W222" s="6"/>
      <c r="X222" s="6"/>
      <c r="Y222" s="6"/>
      <c r="Z222" s="6"/>
      <c r="AA222" s="6"/>
      <c r="AB222" s="6"/>
      <c r="AD222" s="6"/>
      <c r="AE222" s="16"/>
      <c r="AF222" t="str">
        <f t="shared" si="0"/>
        <v/>
      </c>
    </row>
    <row r="223" spans="1:37">
      <c r="A223" s="6">
        <v>206</v>
      </c>
      <c r="B223" s="6" t="s">
        <v>2018</v>
      </c>
      <c r="C223" s="6" t="s">
        <v>2019</v>
      </c>
      <c r="D223" s="6" t="s">
        <v>2020</v>
      </c>
      <c r="E223" s="12" t="s">
        <v>2021</v>
      </c>
      <c r="F223" s="6" t="s">
        <v>57</v>
      </c>
      <c r="G223" s="11">
        <v>2013</v>
      </c>
      <c r="H223" s="6">
        <v>80</v>
      </c>
      <c r="I223" s="13" t="str">
        <f>HYPERLINK("http://www.pivokokes.cz","http://www.pivokokes.cz")</f>
        <v>http://www.pivokokes.cz</v>
      </c>
      <c r="J223" s="13" t="str">
        <f>HYPERLINK("https://www.facebook.com/PivovarKokes","https://www.facebook.com/PivovarKokes")</f>
        <v>https://www.facebook.com/PivovarKokes</v>
      </c>
      <c r="K223" s="6" t="s">
        <v>2022</v>
      </c>
      <c r="L223" s="6"/>
      <c r="M223" s="6" t="s">
        <v>2023</v>
      </c>
      <c r="N223" s="6"/>
      <c r="O223" s="6" t="s">
        <v>2024</v>
      </c>
      <c r="P223" s="6"/>
      <c r="Q223" s="15" t="s">
        <v>2025</v>
      </c>
      <c r="R223" s="6" t="s">
        <v>2026</v>
      </c>
      <c r="S223" s="6">
        <v>49.2989549999999</v>
      </c>
      <c r="T223" s="6">
        <v>15.080097</v>
      </c>
      <c r="U223" s="6"/>
      <c r="V223" s="6"/>
      <c r="W223" s="6"/>
      <c r="X223" s="6"/>
      <c r="Y223" s="6"/>
      <c r="Z223" s="6"/>
      <c r="AA223" s="6" t="s">
        <v>47</v>
      </c>
      <c r="AB223" s="6"/>
      <c r="AD223" s="6"/>
      <c r="AE223" s="17" t="s">
        <v>47</v>
      </c>
      <c r="AF223" t="str">
        <f t="shared" si="0"/>
        <v>ANO</v>
      </c>
    </row>
    <row r="224" spans="1:37">
      <c r="A224" s="19">
        <v>206</v>
      </c>
      <c r="B224" s="20" t="s">
        <v>2027</v>
      </c>
      <c r="C224" s="20" t="s">
        <v>2028</v>
      </c>
      <c r="D224" s="16" t="s">
        <v>2029</v>
      </c>
      <c r="E224" s="23" t="s">
        <v>2030</v>
      </c>
      <c r="F224" s="20" t="s">
        <v>113</v>
      </c>
      <c r="G224" s="24">
        <v>1867.2011</v>
      </c>
      <c r="H224" s="20"/>
      <c r="I224" s="16" t="s">
        <v>2031</v>
      </c>
      <c r="J224" s="20"/>
      <c r="K224" s="26" t="s">
        <v>2032</v>
      </c>
      <c r="L224" s="20" t="s">
        <v>291</v>
      </c>
      <c r="M224" s="20" t="s">
        <v>2033</v>
      </c>
      <c r="N224" s="20" t="s">
        <v>2034</v>
      </c>
      <c r="O224" s="16" t="s">
        <v>2035</v>
      </c>
      <c r="P224" s="20"/>
      <c r="Q224" s="20"/>
      <c r="R224" s="20" t="s">
        <v>2036</v>
      </c>
      <c r="S224" s="19">
        <v>50.665304999999897</v>
      </c>
      <c r="T224" s="19">
        <v>14.076129</v>
      </c>
      <c r="U224" s="20"/>
      <c r="V224" s="20"/>
      <c r="W224" s="20"/>
      <c r="X224" s="20"/>
      <c r="Y224" s="20"/>
      <c r="Z224" s="20"/>
      <c r="AA224" s="20"/>
      <c r="AB224" s="20"/>
      <c r="AC224" s="20"/>
      <c r="AD224" s="20"/>
      <c r="AE224" s="20"/>
      <c r="AF224" t="str">
        <f t="shared" si="0"/>
        <v/>
      </c>
      <c r="AG224" s="20"/>
      <c r="AH224" s="20"/>
      <c r="AI224" s="20"/>
      <c r="AJ224" s="20"/>
      <c r="AK224" s="20"/>
    </row>
    <row r="225" spans="1:37">
      <c r="A225" s="6">
        <v>207</v>
      </c>
      <c r="B225" s="6" t="s">
        <v>2037</v>
      </c>
      <c r="C225" s="6" t="s">
        <v>2038</v>
      </c>
      <c r="D225" s="6" t="s">
        <v>2039</v>
      </c>
      <c r="E225" s="12" t="s">
        <v>2040</v>
      </c>
      <c r="F225" s="6" t="s">
        <v>38</v>
      </c>
      <c r="G225" s="11">
        <v>2013</v>
      </c>
      <c r="H225" s="6">
        <v>400</v>
      </c>
      <c r="I225" s="13" t="str">
        <f>HYPERLINK("http://biskupickypivovar.cz","http://biskupickypivovar.cz")</f>
        <v>http://biskupickypivovar.cz</v>
      </c>
      <c r="J225" s="13" t="str">
        <f>HYPERLINK("https://www.facebook.com/biskupickygajdos","https://www.facebook.com/biskupickygajdos")</f>
        <v>https://www.facebook.com/biskupickygajdos</v>
      </c>
      <c r="K225" s="6" t="s">
        <v>2042</v>
      </c>
      <c r="L225" s="6"/>
      <c r="M225" s="6" t="s">
        <v>2043</v>
      </c>
      <c r="N225" s="6"/>
      <c r="O225" s="6" t="s">
        <v>2037</v>
      </c>
      <c r="P225" s="6"/>
      <c r="Q225" s="6"/>
      <c r="R225" s="6" t="s">
        <v>2044</v>
      </c>
      <c r="S225" s="6">
        <v>49.039236099999997</v>
      </c>
      <c r="T225" s="6">
        <v>16.008028100000001</v>
      </c>
      <c r="U225" s="6"/>
      <c r="V225" s="6"/>
      <c r="W225" s="6"/>
      <c r="X225" s="6"/>
      <c r="Y225" s="6"/>
      <c r="Z225" s="6"/>
      <c r="AA225" s="6"/>
      <c r="AB225" s="6"/>
      <c r="AD225" s="6"/>
      <c r="AE225" s="16"/>
      <c r="AF225" t="str">
        <f t="shared" si="0"/>
        <v/>
      </c>
    </row>
    <row r="226" spans="1:37">
      <c r="A226" s="19">
        <v>207</v>
      </c>
      <c r="B226" s="20" t="s">
        <v>2045</v>
      </c>
      <c r="C226" s="20" t="s">
        <v>2046</v>
      </c>
      <c r="D226" s="20" t="s">
        <v>516</v>
      </c>
      <c r="E226" s="23" t="s">
        <v>2047</v>
      </c>
      <c r="F226" s="20" t="s">
        <v>113</v>
      </c>
      <c r="G226" s="24">
        <v>1825.2005999999999</v>
      </c>
      <c r="H226" s="20"/>
      <c r="I226" s="16" t="s">
        <v>2048</v>
      </c>
      <c r="J226" s="20"/>
      <c r="K226" s="26" t="s">
        <v>2049</v>
      </c>
      <c r="L226" s="16" t="s">
        <v>308</v>
      </c>
      <c r="M226" s="20"/>
      <c r="N226" s="20" t="s">
        <v>2050</v>
      </c>
      <c r="O226" s="20" t="s">
        <v>2045</v>
      </c>
      <c r="P226" s="20"/>
      <c r="Q226" s="20"/>
      <c r="R226" s="20" t="s">
        <v>2051</v>
      </c>
      <c r="S226" s="19">
        <v>49.940860999999899</v>
      </c>
      <c r="T226" s="19">
        <v>17.899253000000002</v>
      </c>
      <c r="U226" s="20"/>
      <c r="V226" s="20"/>
      <c r="W226" s="20"/>
      <c r="X226" s="20"/>
      <c r="Y226" s="20"/>
      <c r="Z226" s="20"/>
      <c r="AA226" s="20"/>
      <c r="AB226" s="20"/>
      <c r="AC226" s="20"/>
      <c r="AD226" s="20"/>
      <c r="AE226" s="20"/>
      <c r="AF226" t="str">
        <f t="shared" si="0"/>
        <v/>
      </c>
      <c r="AG226" s="20"/>
      <c r="AH226" s="20"/>
      <c r="AI226" s="20"/>
      <c r="AJ226" s="20"/>
      <c r="AK226" s="20"/>
    </row>
    <row r="227" spans="1:37">
      <c r="A227" s="6">
        <v>208</v>
      </c>
      <c r="B227" s="6" t="s">
        <v>2052</v>
      </c>
      <c r="C227" s="6" t="s">
        <v>2053</v>
      </c>
      <c r="D227" s="6" t="s">
        <v>2054</v>
      </c>
      <c r="E227" s="12" t="s">
        <v>2055</v>
      </c>
      <c r="F227" s="6" t="s">
        <v>57</v>
      </c>
      <c r="G227" s="11">
        <v>2013</v>
      </c>
      <c r="H227" s="6"/>
      <c r="I227" s="13" t="str">
        <f>HYPERLINK("http://www.radas.cz","http://www.radas.cz")</f>
        <v>http://www.radas.cz</v>
      </c>
      <c r="J227" s="13" t="str">
        <f>HYPERLINK("https://www.facebook.com/pivovarRADAS","https://www.facebook.com/pivovarRADAS")</f>
        <v>https://www.facebook.com/pivovarRADAS</v>
      </c>
      <c r="K227" s="6" t="s">
        <v>2056</v>
      </c>
      <c r="L227" s="6"/>
      <c r="M227" s="6" t="s">
        <v>2057</v>
      </c>
      <c r="N227" s="6"/>
      <c r="O227" s="6" t="s">
        <v>2058</v>
      </c>
      <c r="P227" s="6"/>
      <c r="Q227" s="15" t="s">
        <v>2059</v>
      </c>
      <c r="R227" s="6" t="s">
        <v>2060</v>
      </c>
      <c r="S227" s="6">
        <v>49.679340000000003</v>
      </c>
      <c r="T227" s="6">
        <v>18.569011</v>
      </c>
      <c r="U227" s="6"/>
      <c r="V227" s="6"/>
      <c r="W227" s="6"/>
      <c r="X227" s="6"/>
      <c r="Y227" s="6"/>
      <c r="Z227" s="6"/>
      <c r="AA227" s="6"/>
      <c r="AB227" s="6"/>
      <c r="AD227" s="6"/>
      <c r="AE227" s="16"/>
      <c r="AF227" t="str">
        <f t="shared" si="0"/>
        <v/>
      </c>
    </row>
    <row r="228" spans="1:37">
      <c r="A228" s="6">
        <v>209</v>
      </c>
      <c r="B228" s="6" t="s">
        <v>2061</v>
      </c>
      <c r="C228" s="6" t="s">
        <v>2062</v>
      </c>
      <c r="D228" s="6" t="s">
        <v>2063</v>
      </c>
      <c r="E228" s="12" t="s">
        <v>2064</v>
      </c>
      <c r="F228" s="6" t="s">
        <v>73</v>
      </c>
      <c r="G228" s="11">
        <v>2013</v>
      </c>
      <c r="H228" s="6"/>
      <c r="I228" s="13" t="str">
        <f>HYPERLINK("http://www.restauraceovecka.cz","http://www.restauraceovecka.cz")</f>
        <v>http://www.restauraceovecka.cz</v>
      </c>
      <c r="J228" s="13" t="str">
        <f>HYPERLINK("https://www.facebook.com/KarvinskyPivovar","https://www.facebook.com/KarvinskyPivovar")</f>
        <v>https://www.facebook.com/KarvinskyPivovar</v>
      </c>
      <c r="K228" s="6" t="s">
        <v>2065</v>
      </c>
      <c r="L228" s="6"/>
      <c r="M228" s="6" t="s">
        <v>2066</v>
      </c>
      <c r="N228" s="6"/>
      <c r="O228" s="6" t="s">
        <v>2067</v>
      </c>
      <c r="P228" s="6" t="s">
        <v>2068</v>
      </c>
      <c r="Q228" s="15" t="s">
        <v>2069</v>
      </c>
      <c r="R228" s="6" t="s">
        <v>2070</v>
      </c>
      <c r="S228" s="6">
        <v>49.843462000000002</v>
      </c>
      <c r="T228" s="6">
        <v>18.562473000000001</v>
      </c>
      <c r="U228" s="6"/>
      <c r="V228" s="6"/>
      <c r="W228" s="6"/>
      <c r="X228" s="6"/>
      <c r="Y228" s="6" t="s">
        <v>47</v>
      </c>
      <c r="Z228" s="6"/>
      <c r="AA228" s="6"/>
      <c r="AB228" s="6"/>
      <c r="AD228" s="6"/>
      <c r="AE228" s="17" t="s">
        <v>47</v>
      </c>
      <c r="AF228" t="str">
        <f t="shared" si="0"/>
        <v>ANO</v>
      </c>
    </row>
    <row r="229" spans="1:37">
      <c r="A229" s="6">
        <v>210</v>
      </c>
      <c r="B229" s="6" t="s">
        <v>2072</v>
      </c>
      <c r="C229" s="6" t="s">
        <v>2073</v>
      </c>
      <c r="D229" s="6" t="s">
        <v>2074</v>
      </c>
      <c r="E229" s="12" t="s">
        <v>2075</v>
      </c>
      <c r="F229" s="6" t="s">
        <v>73</v>
      </c>
      <c r="G229" s="11">
        <v>2013</v>
      </c>
      <c r="H229" s="6"/>
      <c r="I229" s="13" t="str">
        <f>HYPERLINK("http://www.hotelbobik.eu","http://www.hotelbobik.eu")</f>
        <v>http://www.hotelbobik.eu</v>
      </c>
      <c r="J229" s="13" t="str">
        <f>HYPERLINK("https://www.facebook.com/hotelbobik","https://www.facebook.com/hotelbobik")</f>
        <v>https://www.facebook.com/hotelbobik</v>
      </c>
      <c r="K229" s="6" t="s">
        <v>2076</v>
      </c>
      <c r="L229" s="6"/>
      <c r="M229" s="6" t="s">
        <v>2077</v>
      </c>
      <c r="N229" s="6"/>
      <c r="O229" s="6" t="s">
        <v>2072</v>
      </c>
      <c r="P229" s="6"/>
      <c r="Q229" s="6"/>
      <c r="R229" s="6" t="s">
        <v>2078</v>
      </c>
      <c r="S229" s="6">
        <v>48.911340000000003</v>
      </c>
      <c r="T229" s="6">
        <v>13.891868000000001</v>
      </c>
      <c r="U229" s="6"/>
      <c r="V229" s="6"/>
      <c r="W229" s="6"/>
      <c r="X229" s="6"/>
      <c r="Y229" s="6"/>
      <c r="Z229" s="6"/>
      <c r="AA229" s="6"/>
      <c r="AB229" s="6"/>
      <c r="AD229" s="6"/>
      <c r="AE229" s="16"/>
      <c r="AF229" t="str">
        <f t="shared" si="0"/>
        <v/>
      </c>
    </row>
    <row r="230" spans="1:37">
      <c r="A230" s="6">
        <v>211</v>
      </c>
      <c r="B230" s="6" t="s">
        <v>2079</v>
      </c>
      <c r="C230" s="6" t="s">
        <v>2080</v>
      </c>
      <c r="D230" s="6" t="s">
        <v>1023</v>
      </c>
      <c r="E230" s="12" t="s">
        <v>2081</v>
      </c>
      <c r="F230" s="6" t="s">
        <v>73</v>
      </c>
      <c r="G230" s="11">
        <v>2013</v>
      </c>
      <c r="H230" s="6"/>
      <c r="I230" s="13" t="str">
        <f>HYPERLINK("http://www.pivozloun.cz","http://www.pivozloun.cz")</f>
        <v>http://www.pivozloun.cz</v>
      </c>
      <c r="J230" s="13" t="str">
        <f>HYPERLINK("https://www.facebook.com/PivoZLoun","https://www.facebook.com/PivoZLoun")</f>
        <v>https://www.facebook.com/PivoZLoun</v>
      </c>
      <c r="K230" s="6" t="s">
        <v>2082</v>
      </c>
      <c r="L230" s="6"/>
      <c r="M230" s="6" t="s">
        <v>2083</v>
      </c>
      <c r="N230" s="6"/>
      <c r="O230" s="6" t="s">
        <v>2084</v>
      </c>
      <c r="P230" s="6"/>
      <c r="Q230" s="6"/>
      <c r="R230" s="6" t="s">
        <v>2085</v>
      </c>
      <c r="S230" s="6">
        <v>50.352834999999899</v>
      </c>
      <c r="T230" s="6">
        <v>13.806838000000001</v>
      </c>
      <c r="U230" s="6"/>
      <c r="V230" s="6"/>
      <c r="W230" s="6"/>
      <c r="X230" s="6"/>
      <c r="Y230" s="6" t="s">
        <v>47</v>
      </c>
      <c r="Z230" s="6" t="s">
        <v>47</v>
      </c>
      <c r="AA230" s="6"/>
      <c r="AB230" s="6"/>
      <c r="AD230" s="6"/>
      <c r="AE230" s="17" t="s">
        <v>47</v>
      </c>
      <c r="AF230" t="str">
        <f t="shared" si="0"/>
        <v>ANO</v>
      </c>
    </row>
    <row r="231" spans="1:37">
      <c r="A231" s="6">
        <v>212</v>
      </c>
      <c r="B231" s="6" t="s">
        <v>2086</v>
      </c>
      <c r="C231" s="6" t="s">
        <v>2087</v>
      </c>
      <c r="D231" s="6" t="s">
        <v>2088</v>
      </c>
      <c r="E231" s="12" t="s">
        <v>2089</v>
      </c>
      <c r="F231" s="6" t="s">
        <v>73</v>
      </c>
      <c r="G231" s="11">
        <v>2013</v>
      </c>
      <c r="H231" s="6">
        <v>750</v>
      </c>
      <c r="I231" s="13" t="str">
        <f>HYPERLINK("http://www.podlipou-pivovar.cz","http://www.podlipou-pivovar.cz")</f>
        <v>http://www.podlipou-pivovar.cz</v>
      </c>
      <c r="J231" s="13" t="str">
        <f>HYPERLINK("https://www.facebook.com/Pod-Lípou-550797298300837","https://www.facebook.com/Pod-Lípou-550797298300837")</f>
        <v>https://www.facebook.com/Pod-Lípou-550797298300837</v>
      </c>
      <c r="K231" s="6" t="s">
        <v>2090</v>
      </c>
      <c r="L231" s="6"/>
      <c r="M231" s="6" t="s">
        <v>2092</v>
      </c>
      <c r="N231" s="6"/>
      <c r="O231" s="6" t="s">
        <v>2094</v>
      </c>
      <c r="P231" s="6" t="s">
        <v>2095</v>
      </c>
      <c r="Q231" s="6"/>
      <c r="R231" s="6" t="s">
        <v>2096</v>
      </c>
      <c r="S231" s="6">
        <v>49.753725000000003</v>
      </c>
      <c r="T231" s="6">
        <v>13.484572</v>
      </c>
      <c r="U231" s="6"/>
      <c r="V231" s="6"/>
      <c r="W231" s="6"/>
      <c r="X231" s="6"/>
      <c r="Y231" s="6"/>
      <c r="Z231" s="6" t="s">
        <v>47</v>
      </c>
      <c r="AA231" s="6"/>
      <c r="AB231" s="6"/>
      <c r="AD231" s="6"/>
      <c r="AE231" s="17" t="s">
        <v>47</v>
      </c>
      <c r="AF231" t="str">
        <f t="shared" si="0"/>
        <v>ANO</v>
      </c>
    </row>
    <row r="232" spans="1:37">
      <c r="A232" s="6">
        <v>213</v>
      </c>
      <c r="B232" s="6" t="s">
        <v>2097</v>
      </c>
      <c r="C232" s="6" t="s">
        <v>2098</v>
      </c>
      <c r="D232" s="6" t="s">
        <v>316</v>
      </c>
      <c r="E232" s="12" t="s">
        <v>2099</v>
      </c>
      <c r="F232" s="6" t="s">
        <v>38</v>
      </c>
      <c r="G232" s="11">
        <v>2013</v>
      </c>
      <c r="H232" s="6">
        <v>1000</v>
      </c>
      <c r="I232" s="13" t="str">
        <f>HYPERLINK("http://www.selsky-pivovarek.cz","http://www.selsky-pivovarek.cz")</f>
        <v>http://www.selsky-pivovarek.cz</v>
      </c>
      <c r="J232" s="13" t="str">
        <f>HYPERLINK("https://www.facebook.com/selskypivovarek","https://www.facebook.com/selskypivovarek")</f>
        <v>https://www.facebook.com/selskypivovarek</v>
      </c>
      <c r="K232" s="6" t="s">
        <v>2100</v>
      </c>
      <c r="L232" s="6"/>
      <c r="M232" s="6" t="s">
        <v>2101</v>
      </c>
      <c r="N232" s="6" t="s">
        <v>2102</v>
      </c>
      <c r="O232" s="6" t="s">
        <v>2103</v>
      </c>
      <c r="P232" s="6"/>
      <c r="Q232" s="6"/>
      <c r="R232" s="6" t="s">
        <v>2104</v>
      </c>
      <c r="S232" s="6">
        <v>49.282787499999998</v>
      </c>
      <c r="T232" s="6">
        <v>17.3635597</v>
      </c>
      <c r="U232" s="6"/>
      <c r="V232" s="6"/>
      <c r="W232" s="6"/>
      <c r="X232" s="6"/>
      <c r="Y232" s="6"/>
      <c r="Z232" s="6"/>
      <c r="AA232" s="6"/>
      <c r="AB232" s="6"/>
      <c r="AD232" s="6"/>
      <c r="AE232" s="16"/>
      <c r="AF232" t="str">
        <f t="shared" si="0"/>
        <v/>
      </c>
    </row>
    <row r="233" spans="1:37">
      <c r="A233" s="6">
        <v>214</v>
      </c>
      <c r="B233" s="6" t="s">
        <v>2106</v>
      </c>
      <c r="C233" s="6" t="s">
        <v>2107</v>
      </c>
      <c r="D233" s="6" t="s">
        <v>1023</v>
      </c>
      <c r="E233" s="12" t="s">
        <v>2108</v>
      </c>
      <c r="F233" s="6" t="s">
        <v>73</v>
      </c>
      <c r="G233" s="11">
        <v>2013</v>
      </c>
      <c r="H233" s="6"/>
      <c r="I233" s="13" t="str">
        <f>HYPERLINK("http://lounskyzejdlik.cz","http://lounskyzejdlik.cz")</f>
        <v>http://lounskyzejdlik.cz</v>
      </c>
      <c r="J233" s="13" t="str">
        <f>HYPERLINK("https://www.facebook.com/Rodinný-minipivovar-Domov-Lounský-žejdlík-685998641411451","https://www.facebook.com/Rodinný-minipivovar-Domov-Lounský-žejdlík-685998641411451")</f>
        <v>https://www.facebook.com/Rodinný-minipivovar-Domov-Lounský-žejdlík-685998641411451</v>
      </c>
      <c r="K233" s="6" t="s">
        <v>2109</v>
      </c>
      <c r="L233" s="6"/>
      <c r="M233" s="6" t="s">
        <v>2110</v>
      </c>
      <c r="N233" s="6"/>
      <c r="O233" s="6" t="s">
        <v>2111</v>
      </c>
      <c r="P233" s="6" t="s">
        <v>2112</v>
      </c>
      <c r="Q233" s="6"/>
      <c r="R233" s="6" t="s">
        <v>2113</v>
      </c>
      <c r="S233" s="6">
        <v>50.351436100000001</v>
      </c>
      <c r="T233" s="6">
        <v>13.8101111</v>
      </c>
      <c r="U233" s="6"/>
      <c r="V233" s="6"/>
      <c r="W233" s="6"/>
      <c r="X233" s="6"/>
      <c r="Y233" s="6" t="s">
        <v>47</v>
      </c>
      <c r="Z233" s="6"/>
      <c r="AA233" s="6"/>
      <c r="AB233" s="6"/>
      <c r="AD233" s="6"/>
      <c r="AE233" s="16"/>
      <c r="AF233" t="str">
        <f t="shared" si="0"/>
        <v>ANO</v>
      </c>
    </row>
    <row r="234" spans="1:37">
      <c r="A234" s="6">
        <v>215</v>
      </c>
      <c r="B234" s="6" t="s">
        <v>2115</v>
      </c>
      <c r="C234" s="6" t="s">
        <v>2116</v>
      </c>
      <c r="D234" s="6" t="s">
        <v>2117</v>
      </c>
      <c r="E234" s="12" t="s">
        <v>2118</v>
      </c>
      <c r="F234" s="6" t="s">
        <v>57</v>
      </c>
      <c r="G234" s="11">
        <v>2013</v>
      </c>
      <c r="H234" s="6"/>
      <c r="I234" s="6"/>
      <c r="J234" s="13" t="str">
        <f>HYPERLINK("https://www.facebook.com/Pivovar-Lišák-547777435314061","https://www.facebook.com/Pivovar-Lišák-547777435314061")</f>
        <v>https://www.facebook.com/Pivovar-Lišák-547777435314061</v>
      </c>
      <c r="K234" s="6" t="s">
        <v>2119</v>
      </c>
      <c r="L234" s="6"/>
      <c r="M234" s="6" t="s">
        <v>2120</v>
      </c>
      <c r="N234" s="6"/>
      <c r="O234" s="6" t="s">
        <v>2115</v>
      </c>
      <c r="P234" s="6"/>
      <c r="Q234" s="15" t="s">
        <v>2121</v>
      </c>
      <c r="R234" s="6" t="s">
        <v>2122</v>
      </c>
      <c r="S234" s="6">
        <v>49.278633599999999</v>
      </c>
      <c r="T234" s="6">
        <v>17.0407431</v>
      </c>
      <c r="U234" s="6"/>
      <c r="V234" s="6"/>
      <c r="W234" s="6"/>
      <c r="X234" s="6"/>
      <c r="Y234" s="6"/>
      <c r="Z234" s="6"/>
      <c r="AA234" s="6"/>
      <c r="AB234" s="6"/>
      <c r="AD234" s="6"/>
      <c r="AE234" s="16"/>
      <c r="AF234" t="str">
        <f t="shared" si="0"/>
        <v/>
      </c>
    </row>
    <row r="235" spans="1:37">
      <c r="A235" s="6">
        <v>216</v>
      </c>
      <c r="B235" s="6" t="s">
        <v>2123</v>
      </c>
      <c r="C235" s="6" t="s">
        <v>2124</v>
      </c>
      <c r="D235" s="6" t="s">
        <v>2125</v>
      </c>
      <c r="E235" s="12" t="s">
        <v>2126</v>
      </c>
      <c r="F235" s="6" t="s">
        <v>73</v>
      </c>
      <c r="G235" s="11">
        <v>2013</v>
      </c>
      <c r="H235" s="6">
        <v>300</v>
      </c>
      <c r="I235" s="13" t="str">
        <f>HYPERLINK("http://litomysl-veselka.cz","http://litomysl-veselka.cz")</f>
        <v>http://litomysl-veselka.cz</v>
      </c>
      <c r="J235" s="13" t="str">
        <f>HYPERLINK("https://www.facebook.com/Veselkalitomysl","https://www.facebook.com/Veselkalitomysl")</f>
        <v>https://www.facebook.com/Veselkalitomysl</v>
      </c>
      <c r="K235" s="6" t="s">
        <v>2128</v>
      </c>
      <c r="L235" s="6"/>
      <c r="M235" s="6" t="s">
        <v>2129</v>
      </c>
      <c r="N235" s="6"/>
      <c r="O235" s="6" t="s">
        <v>2130</v>
      </c>
      <c r="P235" s="6" t="s">
        <v>2131</v>
      </c>
      <c r="Q235" s="15" t="s">
        <v>2132</v>
      </c>
      <c r="R235" s="6" t="s">
        <v>2133</v>
      </c>
      <c r="S235" s="6">
        <v>49.870925999999898</v>
      </c>
      <c r="T235" s="6">
        <v>16.316714999999899</v>
      </c>
      <c r="U235" s="6"/>
      <c r="V235" s="6"/>
      <c r="W235" s="6"/>
      <c r="X235" s="6"/>
      <c r="Y235" s="6" t="s">
        <v>47</v>
      </c>
      <c r="Z235" s="6"/>
      <c r="AA235" s="6"/>
      <c r="AB235" s="6" t="s">
        <v>47</v>
      </c>
      <c r="AD235" s="6"/>
      <c r="AE235" s="16"/>
      <c r="AF235" t="str">
        <f t="shared" si="0"/>
        <v>ANO</v>
      </c>
    </row>
    <row r="236" spans="1:37">
      <c r="A236" s="6">
        <v>217</v>
      </c>
      <c r="B236" s="6" t="s">
        <v>2134</v>
      </c>
      <c r="C236" s="6" t="s">
        <v>2135</v>
      </c>
      <c r="D236" s="6" t="s">
        <v>1018</v>
      </c>
      <c r="E236" s="12" t="s">
        <v>2136</v>
      </c>
      <c r="F236" s="6" t="s">
        <v>57</v>
      </c>
      <c r="G236" s="11">
        <v>2013</v>
      </c>
      <c r="H236" s="6">
        <v>1500</v>
      </c>
      <c r="I236" s="13" t="str">
        <f>HYPERLINK("http://www.lucky-bastard.cz","http://www.lucky-bastard.cz")</f>
        <v>http://www.lucky-bastard.cz</v>
      </c>
      <c r="J236" s="13" t="str">
        <f>HYPERLINK("https://www.facebook.com/luckybastardcz","https://www.facebook.com/luckybastardcz")</f>
        <v>https://www.facebook.com/luckybastardcz</v>
      </c>
      <c r="K236" s="6" t="s">
        <v>2137</v>
      </c>
      <c r="L236" s="6" t="s">
        <v>2138</v>
      </c>
      <c r="M236" s="6" t="s">
        <v>2139</v>
      </c>
      <c r="N236" s="6" t="s">
        <v>2140</v>
      </c>
      <c r="O236" s="6" t="s">
        <v>2134</v>
      </c>
      <c r="P236" s="6" t="s">
        <v>2141</v>
      </c>
      <c r="Q236" s="6"/>
      <c r="R236" s="6" t="s">
        <v>2142</v>
      </c>
      <c r="S236" s="6">
        <v>49.208246699999997</v>
      </c>
      <c r="T236" s="6">
        <v>16.602758300000001</v>
      </c>
      <c r="U236" s="6"/>
      <c r="V236" s="6"/>
      <c r="W236" s="6"/>
      <c r="X236" s="6"/>
      <c r="Y236" s="6"/>
      <c r="Z236" s="6"/>
      <c r="AA236" s="6" t="s">
        <v>47</v>
      </c>
      <c r="AB236" s="6"/>
      <c r="AD236" s="6"/>
      <c r="AE236" s="16"/>
      <c r="AF236" t="str">
        <f t="shared" si="0"/>
        <v>ANO</v>
      </c>
    </row>
    <row r="237" spans="1:37">
      <c r="A237" s="6">
        <v>218</v>
      </c>
      <c r="B237" s="6" t="s">
        <v>2144</v>
      </c>
      <c r="C237" s="6" t="s">
        <v>2145</v>
      </c>
      <c r="D237" s="6" t="s">
        <v>2146</v>
      </c>
      <c r="E237" s="12" t="s">
        <v>2147</v>
      </c>
      <c r="F237" s="6" t="s">
        <v>57</v>
      </c>
      <c r="G237" s="11">
        <v>2013</v>
      </c>
      <c r="H237" s="6"/>
      <c r="I237" s="13" t="str">
        <f>HYPERLINK("http://www.pivovarzhurak.cz","http://www.pivovarzhurak.cz")</f>
        <v>http://www.pivovarzhurak.cz</v>
      </c>
      <c r="J237" s="13" t="str">
        <f>HYPERLINK("https://www.facebook.com/zhurak","https://www.facebook.com/zhurak")</f>
        <v>https://www.facebook.com/zhurak</v>
      </c>
      <c r="K237" s="6" t="s">
        <v>2149</v>
      </c>
      <c r="L237" s="6"/>
      <c r="M237" s="6" t="s">
        <v>2150</v>
      </c>
      <c r="N237" s="6"/>
      <c r="O237" s="6" t="s">
        <v>2151</v>
      </c>
      <c r="P237" s="6"/>
      <c r="Q237" s="6"/>
      <c r="R237" s="6" t="s">
        <v>2152</v>
      </c>
      <c r="S237" s="6">
        <v>49.537637799999999</v>
      </c>
      <c r="T237" s="6">
        <v>13.515683299999999</v>
      </c>
      <c r="U237" s="6"/>
      <c r="V237" s="6"/>
      <c r="W237" s="6"/>
      <c r="X237" s="6"/>
      <c r="Y237" s="6"/>
      <c r="Z237" s="6"/>
      <c r="AA237" s="6"/>
      <c r="AB237" s="6"/>
      <c r="AD237" s="6"/>
      <c r="AE237" s="16"/>
      <c r="AF237" t="str">
        <f t="shared" si="0"/>
        <v/>
      </c>
    </row>
    <row r="238" spans="1:37">
      <c r="A238" s="6">
        <v>219</v>
      </c>
      <c r="B238" s="6" t="s">
        <v>2153</v>
      </c>
      <c r="C238" s="6" t="s">
        <v>2154</v>
      </c>
      <c r="D238" s="6" t="s">
        <v>259</v>
      </c>
      <c r="E238" s="12" t="s">
        <v>2155</v>
      </c>
      <c r="F238" s="6" t="s">
        <v>73</v>
      </c>
      <c r="G238" s="11">
        <v>2013</v>
      </c>
      <c r="H238" s="6"/>
      <c r="I238" s="13" t="str">
        <f>HYPERLINK("http://www.pivovarekmorava.cz","http://www.pivovarekmorava.cz")</f>
        <v>http://www.pivovarekmorava.cz</v>
      </c>
      <c r="J238" s="13" t="str">
        <f>HYPERLINK("https://www.facebook.com/PivovarekMorava","https://www.facebook.com/PivovarekMorava")</f>
        <v>https://www.facebook.com/PivovarekMorava</v>
      </c>
      <c r="K238" s="6" t="s">
        <v>2157</v>
      </c>
      <c r="L238" s="6"/>
      <c r="M238" s="6" t="s">
        <v>2158</v>
      </c>
      <c r="N238" s="6" t="s">
        <v>2159</v>
      </c>
      <c r="O238" s="6" t="s">
        <v>2153</v>
      </c>
      <c r="P238" s="6" t="s">
        <v>2160</v>
      </c>
      <c r="Q238" s="6" t="s">
        <v>2161</v>
      </c>
      <c r="R238" s="6" t="s">
        <v>2162</v>
      </c>
      <c r="S238" s="6">
        <v>49.676793000000004</v>
      </c>
      <c r="T238" s="6">
        <v>18.333027000000001</v>
      </c>
      <c r="U238" s="6"/>
      <c r="V238" s="6"/>
      <c r="W238" s="6"/>
      <c r="X238" s="6" t="s">
        <v>47</v>
      </c>
      <c r="Y238" s="6"/>
      <c r="Z238" s="6"/>
      <c r="AA238" s="6"/>
      <c r="AB238" s="6"/>
      <c r="AD238" s="6"/>
      <c r="AE238" s="16"/>
      <c r="AF238" t="str">
        <f t="shared" si="0"/>
        <v>ANO</v>
      </c>
    </row>
    <row r="239" spans="1:37">
      <c r="A239" s="6">
        <v>220</v>
      </c>
      <c r="B239" s="6" t="s">
        <v>2163</v>
      </c>
      <c r="C239" s="6" t="s">
        <v>2164</v>
      </c>
      <c r="D239" s="6" t="s">
        <v>2165</v>
      </c>
      <c r="E239" s="12" t="s">
        <v>2166</v>
      </c>
      <c r="F239" s="6" t="s">
        <v>73</v>
      </c>
      <c r="G239" s="11">
        <v>2013</v>
      </c>
      <c r="H239" s="6"/>
      <c r="I239" s="13" t="str">
        <f>HYPERLINK("http://www.nadsarkou.cz","http://www.nadsarkou.cz")</f>
        <v>http://www.nadsarkou.cz</v>
      </c>
      <c r="J239" s="13" t="str">
        <f>HYPERLINK("https://www.facebook.com/libockypivovar","https://www.facebook.com/libockypivovar")</f>
        <v>https://www.facebook.com/libockypivovar</v>
      </c>
      <c r="K239" s="6" t="s">
        <v>2167</v>
      </c>
      <c r="L239" s="6"/>
      <c r="M239" s="6" t="s">
        <v>2168</v>
      </c>
      <c r="N239" s="6"/>
      <c r="O239" s="6" t="s">
        <v>2169</v>
      </c>
      <c r="P239" s="6" t="s">
        <v>2170</v>
      </c>
      <c r="Q239" s="6"/>
      <c r="R239" s="6" t="s">
        <v>2171</v>
      </c>
      <c r="S239" s="6">
        <v>50.092438999999899</v>
      </c>
      <c r="T239" s="6">
        <v>14.323957</v>
      </c>
      <c r="U239" s="6"/>
      <c r="V239" s="6"/>
      <c r="W239" s="6"/>
      <c r="X239" s="6"/>
      <c r="Y239" s="6" t="s">
        <v>47</v>
      </c>
      <c r="Z239" s="6"/>
      <c r="AA239" s="6"/>
      <c r="AB239" s="6"/>
      <c r="AD239" s="6"/>
      <c r="AE239" s="17" t="s">
        <v>47</v>
      </c>
      <c r="AF239" t="str">
        <f t="shared" si="0"/>
        <v>ANO</v>
      </c>
    </row>
    <row r="240" spans="1:37">
      <c r="A240" s="6">
        <v>221</v>
      </c>
      <c r="B240" s="6" t="s">
        <v>2172</v>
      </c>
      <c r="C240" s="6" t="s">
        <v>2173</v>
      </c>
      <c r="D240" s="6" t="s">
        <v>638</v>
      </c>
      <c r="E240" s="12" t="s">
        <v>2174</v>
      </c>
      <c r="F240" s="6" t="s">
        <v>73</v>
      </c>
      <c r="G240" s="11">
        <v>2013</v>
      </c>
      <c r="H240" s="6"/>
      <c r="I240" s="13" t="str">
        <f>HYPERLINK("http://www.karasekastulpner.cz","http://www.karasekastulpner.cz")</f>
        <v>http://www.karasekastulpner.cz</v>
      </c>
      <c r="J240" s="13" t="str">
        <f>HYPERLINK("https://www.facebook.com/KarasekaStulpner","https://www.facebook.com/KarasekaStulpner")</f>
        <v>https://www.facebook.com/KarasekaStulpner</v>
      </c>
      <c r="K240" s="6" t="s">
        <v>2175</v>
      </c>
      <c r="L240" s="6"/>
      <c r="M240" s="6" t="s">
        <v>2176</v>
      </c>
      <c r="N240" s="6"/>
      <c r="O240" s="6" t="s">
        <v>2177</v>
      </c>
      <c r="P240" s="6" t="s">
        <v>2178</v>
      </c>
      <c r="Q240" s="6"/>
      <c r="R240" s="6" t="s">
        <v>2179</v>
      </c>
      <c r="S240" s="6">
        <v>50.459530999999899</v>
      </c>
      <c r="T240" s="6">
        <v>13.412614</v>
      </c>
      <c r="U240" s="6"/>
      <c r="V240" s="6"/>
      <c r="W240" s="6"/>
      <c r="X240" s="6"/>
      <c r="Y240" s="6"/>
      <c r="Z240" s="6" t="s">
        <v>47</v>
      </c>
      <c r="AA240" s="6"/>
      <c r="AB240" s="6"/>
      <c r="AD240" s="6"/>
      <c r="AE240" s="17" t="s">
        <v>47</v>
      </c>
      <c r="AF240" t="str">
        <f t="shared" si="0"/>
        <v>ANO</v>
      </c>
    </row>
    <row r="241" spans="1:37">
      <c r="A241" s="6">
        <v>222</v>
      </c>
      <c r="B241" s="6" t="s">
        <v>2180</v>
      </c>
      <c r="C241" s="6" t="s">
        <v>2181</v>
      </c>
      <c r="D241" s="6" t="s">
        <v>2180</v>
      </c>
      <c r="E241" s="12" t="s">
        <v>2182</v>
      </c>
      <c r="F241" s="6" t="s">
        <v>73</v>
      </c>
      <c r="G241" s="11">
        <v>2013</v>
      </c>
      <c r="H241" s="6"/>
      <c r="I241" s="13" t="str">
        <f>HYPERLINK("http://www.pivovarpodlesi.cz","http://www.pivovarpodlesi.cz")</f>
        <v>http://www.pivovarpodlesi.cz</v>
      </c>
      <c r="J241" s="13" t="str">
        <f>HYPERLINK("https://www.facebook.com/pivovarpodlesi","https://www.facebook.com/pivovarpodlesi")</f>
        <v>https://www.facebook.com/pivovarpodlesi</v>
      </c>
      <c r="K241" s="6" t="s">
        <v>2183</v>
      </c>
      <c r="L241" s="6"/>
      <c r="M241" s="6" t="s">
        <v>2184</v>
      </c>
      <c r="N241" s="6"/>
      <c r="O241" s="6" t="s">
        <v>2185</v>
      </c>
      <c r="P241" s="6"/>
      <c r="Q241" s="6"/>
      <c r="R241" s="6" t="s">
        <v>2186</v>
      </c>
      <c r="S241" s="6">
        <v>49.689908000000003</v>
      </c>
      <c r="T241" s="6">
        <v>13.9820309999999</v>
      </c>
      <c r="U241" s="6"/>
      <c r="V241" s="6"/>
      <c r="W241" s="6"/>
      <c r="X241" s="6"/>
      <c r="Y241" s="6"/>
      <c r="Z241" s="6" t="s">
        <v>47</v>
      </c>
      <c r="AA241" s="6"/>
      <c r="AB241" s="6"/>
      <c r="AD241" s="6"/>
      <c r="AE241" s="16"/>
      <c r="AF241" t="str">
        <f t="shared" si="0"/>
        <v>ANO</v>
      </c>
    </row>
    <row r="242" spans="1:37">
      <c r="A242" s="6">
        <v>223</v>
      </c>
      <c r="B242" s="6" t="s">
        <v>2187</v>
      </c>
      <c r="C242" s="6" t="s">
        <v>2188</v>
      </c>
      <c r="D242" s="6" t="s">
        <v>516</v>
      </c>
      <c r="E242" s="12" t="s">
        <v>2189</v>
      </c>
      <c r="F242" s="6" t="s">
        <v>73</v>
      </c>
      <c r="G242" s="11">
        <v>2013</v>
      </c>
      <c r="H242" s="6">
        <v>600</v>
      </c>
      <c r="I242" s="13" t="str">
        <f>HYPERLINK("http://www.nova-sladovna.cz","http://www.nova-sladovna.cz")</f>
        <v>http://www.nova-sladovna.cz</v>
      </c>
      <c r="J242" s="13" t="str">
        <f>HYPERLINK("https://www.facebook.com/pivovarnovasladovna","https://www.facebook.com/pivovarnovasladovna")</f>
        <v>https://www.facebook.com/pivovarnovasladovna</v>
      </c>
      <c r="K242" s="6" t="s">
        <v>2190</v>
      </c>
      <c r="L242" s="6"/>
      <c r="M242" s="6" t="s">
        <v>2191</v>
      </c>
      <c r="N242" s="6"/>
      <c r="O242" s="6" t="s">
        <v>2192</v>
      </c>
      <c r="P242" s="6"/>
      <c r="Q242" s="6"/>
      <c r="R242" s="6" t="s">
        <v>2193</v>
      </c>
      <c r="S242" s="6">
        <v>49.940879000000002</v>
      </c>
      <c r="T242" s="6">
        <v>17.900700000000001</v>
      </c>
      <c r="U242" s="6"/>
      <c r="V242" s="6"/>
      <c r="W242" s="6"/>
      <c r="X242" s="6"/>
      <c r="Y242" s="6"/>
      <c r="Z242" s="6" t="s">
        <v>47</v>
      </c>
      <c r="AA242" s="6"/>
      <c r="AB242" s="6"/>
      <c r="AD242" s="6" t="s">
        <v>47</v>
      </c>
      <c r="AE242" s="17" t="s">
        <v>47</v>
      </c>
      <c r="AF242" t="str">
        <f t="shared" si="0"/>
        <v>ANO</v>
      </c>
    </row>
    <row r="243" spans="1:37">
      <c r="A243" s="6">
        <v>224</v>
      </c>
      <c r="B243" s="6" t="s">
        <v>2194</v>
      </c>
      <c r="C243" s="6" t="s">
        <v>2195</v>
      </c>
      <c r="D243" s="6" t="s">
        <v>2194</v>
      </c>
      <c r="E243" s="12" t="s">
        <v>2196</v>
      </c>
      <c r="F243" s="6" t="s">
        <v>73</v>
      </c>
      <c r="G243" s="11">
        <v>2013</v>
      </c>
      <c r="H243" s="6"/>
      <c r="I243" s="13" t="str">
        <f>HYPERLINK("http://www.pivo-oslavany.cz","http://www.pivo-oslavany.cz")</f>
        <v>http://www.pivo-oslavany.cz</v>
      </c>
      <c r="J243" s="13" t="str">
        <f>HYPERLINK("https://www.facebook.com/Městský-zámecký-pivovar-Oslavany-849595381769723","https://www.facebook.com/Městský-zámecký-pivovar-Oslavany-849595381769723")</f>
        <v>https://www.facebook.com/Městský-zámecký-pivovar-Oslavany-849595381769723</v>
      </c>
      <c r="K243" s="6" t="s">
        <v>2197</v>
      </c>
      <c r="L243" s="6"/>
      <c r="M243" s="6" t="s">
        <v>2198</v>
      </c>
      <c r="N243" s="6"/>
      <c r="O243" s="6" t="s">
        <v>2199</v>
      </c>
      <c r="P243" s="6"/>
      <c r="Q243" s="15" t="s">
        <v>2200</v>
      </c>
      <c r="R243" s="6" t="s">
        <v>2201</v>
      </c>
      <c r="S243" s="6">
        <v>49.126928100000001</v>
      </c>
      <c r="T243" s="6">
        <v>16.333841899999999</v>
      </c>
      <c r="U243" s="6"/>
      <c r="V243" s="6"/>
      <c r="W243" s="6"/>
      <c r="X243" s="6"/>
      <c r="Y243" s="6"/>
      <c r="Z243" s="6"/>
      <c r="AA243" s="6"/>
      <c r="AB243" s="6" t="s">
        <v>47</v>
      </c>
      <c r="AD243" s="6" t="s">
        <v>47</v>
      </c>
      <c r="AE243" s="17" t="s">
        <v>47</v>
      </c>
      <c r="AF243" t="str">
        <f t="shared" si="0"/>
        <v>ANO</v>
      </c>
    </row>
    <row r="244" spans="1:37">
      <c r="A244" s="19">
        <v>224</v>
      </c>
      <c r="B244" s="20" t="s">
        <v>2203</v>
      </c>
      <c r="C244" s="20" t="s">
        <v>2204</v>
      </c>
      <c r="D244" s="20" t="s">
        <v>2156</v>
      </c>
      <c r="E244" s="23" t="s">
        <v>2205</v>
      </c>
      <c r="F244" s="20" t="s">
        <v>113</v>
      </c>
      <c r="G244" s="24">
        <v>2013.2013999999999</v>
      </c>
      <c r="H244" s="20"/>
      <c r="I244" s="20"/>
      <c r="J244" s="16" t="s">
        <v>2206</v>
      </c>
      <c r="K244" s="26" t="s">
        <v>2207</v>
      </c>
      <c r="L244" s="20"/>
      <c r="M244" s="16" t="s">
        <v>2208</v>
      </c>
      <c r="N244" s="20"/>
      <c r="O244" s="16" t="s">
        <v>2209</v>
      </c>
      <c r="P244" s="20"/>
      <c r="Q244" s="38" t="s">
        <v>2210</v>
      </c>
      <c r="R244" s="20" t="s">
        <v>2211</v>
      </c>
      <c r="S244" s="19">
        <v>49.231361999999898</v>
      </c>
      <c r="T244" s="19">
        <v>17.6832549999999</v>
      </c>
      <c r="U244" s="20"/>
      <c r="V244" s="20"/>
      <c r="W244" s="20"/>
      <c r="X244" s="20"/>
      <c r="Y244" s="20"/>
      <c r="Z244" s="20"/>
      <c r="AA244" s="20"/>
      <c r="AB244" s="20"/>
      <c r="AC244" s="20"/>
      <c r="AD244" s="20"/>
      <c r="AE244" s="20"/>
      <c r="AF244" t="str">
        <f t="shared" si="0"/>
        <v/>
      </c>
      <c r="AG244" s="20"/>
      <c r="AH244" s="20"/>
      <c r="AI244" s="20"/>
      <c r="AJ244" s="20"/>
      <c r="AK244" s="20"/>
    </row>
    <row r="245" spans="1:37">
      <c r="A245" s="6">
        <v>225</v>
      </c>
      <c r="B245" s="6" t="s">
        <v>2212</v>
      </c>
      <c r="C245" s="6" t="s">
        <v>2213</v>
      </c>
      <c r="D245" s="6" t="s">
        <v>2214</v>
      </c>
      <c r="E245" s="12" t="s">
        <v>2215</v>
      </c>
      <c r="F245" s="6" t="s">
        <v>73</v>
      </c>
      <c r="G245" s="11">
        <v>2014</v>
      </c>
      <c r="H245" s="6">
        <v>1000</v>
      </c>
      <c r="I245" s="13" t="str">
        <f>HYPERLINK("http://www.pivovarmodrava.cz","http://www.pivovarmodrava.cz")</f>
        <v>http://www.pivovarmodrava.cz</v>
      </c>
      <c r="J245" s="13" t="str">
        <f>HYPERLINK("https://www.facebook.com/PivovarLyer","https://www.facebook.com/PivovarLyer")</f>
        <v>https://www.facebook.com/PivovarLyer</v>
      </c>
      <c r="K245" s="6" t="s">
        <v>2218</v>
      </c>
      <c r="L245" s="6"/>
      <c r="M245" s="6" t="s">
        <v>2219</v>
      </c>
      <c r="N245" s="6"/>
      <c r="O245" s="6" t="s">
        <v>2212</v>
      </c>
      <c r="P245" s="6"/>
      <c r="Q245" s="6"/>
      <c r="R245" s="6" t="s">
        <v>2220</v>
      </c>
      <c r="S245" s="6">
        <v>49.023558899999998</v>
      </c>
      <c r="T245" s="6">
        <v>13.4928089</v>
      </c>
      <c r="U245" s="6"/>
      <c r="V245" s="6"/>
      <c r="W245" s="6"/>
      <c r="X245" s="6"/>
      <c r="Y245" s="6"/>
      <c r="Z245" s="6"/>
      <c r="AA245" s="6"/>
      <c r="AB245" s="6"/>
      <c r="AD245" s="6"/>
      <c r="AE245" s="16"/>
      <c r="AF245" t="str">
        <f t="shared" si="0"/>
        <v/>
      </c>
    </row>
    <row r="246" spans="1:37">
      <c r="A246" s="6">
        <v>226</v>
      </c>
      <c r="B246" s="6" t="s">
        <v>2221</v>
      </c>
      <c r="C246" s="6" t="s">
        <v>2222</v>
      </c>
      <c r="D246" s="32" t="s">
        <v>298</v>
      </c>
      <c r="E246" s="12" t="s">
        <v>2223</v>
      </c>
      <c r="F246" s="6" t="s">
        <v>38</v>
      </c>
      <c r="G246" s="11">
        <v>2013</v>
      </c>
      <c r="H246" s="6"/>
      <c r="I246" s="13" t="str">
        <f>HYPERLINK("http://beeranek.cz","http://beeranek.cz")</f>
        <v>http://beeranek.cz</v>
      </c>
      <c r="J246" s="13" t="str">
        <f>HYPERLINK("https://www.facebook.com/beeranekbeer","https://www.facebook.com/beeranekbeer")</f>
        <v>https://www.facebook.com/beeranekbeer</v>
      </c>
      <c r="K246" s="32" t="s">
        <v>2224</v>
      </c>
      <c r="L246" s="6"/>
      <c r="M246" s="32" t="s">
        <v>2225</v>
      </c>
      <c r="N246" s="6"/>
      <c r="O246" s="32" t="s">
        <v>2226</v>
      </c>
      <c r="P246" s="6" t="s">
        <v>2227</v>
      </c>
      <c r="Q246" s="6"/>
      <c r="R246" s="6" t="s">
        <v>2228</v>
      </c>
      <c r="S246" s="6">
        <v>48.974760000000003</v>
      </c>
      <c r="T246" s="6">
        <v>14.4725459999999</v>
      </c>
      <c r="U246" s="6"/>
      <c r="V246" s="6"/>
      <c r="W246" s="6"/>
      <c r="X246" s="6"/>
      <c r="Y246" s="6"/>
      <c r="Z246" s="6" t="s">
        <v>47</v>
      </c>
      <c r="AA246" s="6"/>
      <c r="AB246" s="6"/>
      <c r="AD246" s="6"/>
      <c r="AE246" s="16"/>
      <c r="AF246" t="str">
        <f t="shared" si="0"/>
        <v>ANO</v>
      </c>
    </row>
    <row r="247" spans="1:37">
      <c r="A247" s="6">
        <v>227</v>
      </c>
      <c r="B247" s="6" t="s">
        <v>2230</v>
      </c>
      <c r="C247" s="6" t="s">
        <v>2231</v>
      </c>
      <c r="D247" s="6" t="s">
        <v>2232</v>
      </c>
      <c r="E247" s="12" t="s">
        <v>2233</v>
      </c>
      <c r="F247" s="6" t="s">
        <v>73</v>
      </c>
      <c r="G247" s="11">
        <v>2014</v>
      </c>
      <c r="H247" s="6"/>
      <c r="I247" s="13" t="str">
        <f>HYPERLINK("http://www.pivovarkostelec.cz","http://www.pivovarkostelec.cz")</f>
        <v>http://www.pivovarkostelec.cz</v>
      </c>
      <c r="J247" s="13" t="str">
        <f>HYPERLINK("https://www.facebook.com/pivovarkostelec","https://www.facebook.com/pivovarkostelec")</f>
        <v>https://www.facebook.com/pivovarkostelec</v>
      </c>
      <c r="K247" s="6" t="s">
        <v>2234</v>
      </c>
      <c r="L247" s="6"/>
      <c r="M247" s="6" t="s">
        <v>2235</v>
      </c>
      <c r="N247" s="6"/>
      <c r="O247" s="6" t="s">
        <v>2236</v>
      </c>
      <c r="P247" s="6"/>
      <c r="Q247" s="6"/>
      <c r="R247" s="6" t="s">
        <v>2237</v>
      </c>
      <c r="S247" s="6">
        <v>49.997992000000004</v>
      </c>
      <c r="T247" s="6">
        <v>14.8649349999999</v>
      </c>
      <c r="U247" s="6"/>
      <c r="V247" s="6"/>
      <c r="W247" s="6"/>
      <c r="X247" s="6"/>
      <c r="Y247" s="6" t="s">
        <v>47</v>
      </c>
      <c r="Z247" s="6"/>
      <c r="AA247" s="6"/>
      <c r="AB247" s="6"/>
      <c r="AD247" s="6"/>
      <c r="AE247" s="16"/>
      <c r="AF247" t="str">
        <f t="shared" si="0"/>
        <v>ANO</v>
      </c>
    </row>
    <row r="248" spans="1:37">
      <c r="A248" s="6">
        <v>228</v>
      </c>
      <c r="B248" s="6" t="s">
        <v>2238</v>
      </c>
      <c r="C248" s="6" t="s">
        <v>2239</v>
      </c>
      <c r="D248" s="6" t="s">
        <v>2238</v>
      </c>
      <c r="E248" s="12" t="s">
        <v>2240</v>
      </c>
      <c r="F248" s="6" t="s">
        <v>73</v>
      </c>
      <c r="G248" s="11">
        <v>2014</v>
      </c>
      <c r="H248" s="6"/>
      <c r="I248" s="13" t="str">
        <f>HYPERLINK("http://www.pivovarpopelin.cz","http://www.pivovarpopelin.cz")</f>
        <v>http://www.pivovarpopelin.cz</v>
      </c>
      <c r="J248" s="6"/>
      <c r="K248" s="6" t="s">
        <v>2241</v>
      </c>
      <c r="L248" s="6"/>
      <c r="M248" s="6" t="s">
        <v>2242</v>
      </c>
      <c r="N248" s="6"/>
      <c r="O248" s="6" t="s">
        <v>2243</v>
      </c>
      <c r="P248" s="6" t="s">
        <v>2244</v>
      </c>
      <c r="Q248" s="15" t="s">
        <v>2245</v>
      </c>
      <c r="R248" s="6" t="s">
        <v>2246</v>
      </c>
      <c r="S248" s="6">
        <v>49.2135581</v>
      </c>
      <c r="T248" s="6">
        <v>15.1865383</v>
      </c>
      <c r="U248" s="6"/>
      <c r="V248" s="6"/>
      <c r="W248" s="6"/>
      <c r="X248" s="6"/>
      <c r="Y248" s="6"/>
      <c r="Z248" s="6"/>
      <c r="AA248" s="6" t="s">
        <v>47</v>
      </c>
      <c r="AB248" s="6"/>
      <c r="AD248" s="6"/>
      <c r="AE248" s="17" t="s">
        <v>47</v>
      </c>
      <c r="AF248" t="str">
        <f t="shared" si="0"/>
        <v>ANO</v>
      </c>
    </row>
    <row r="249" spans="1:37">
      <c r="A249" s="19">
        <v>229</v>
      </c>
      <c r="B249" s="20" t="s">
        <v>2247</v>
      </c>
      <c r="C249" s="20" t="s">
        <v>2248</v>
      </c>
      <c r="D249" s="16" t="s">
        <v>2249</v>
      </c>
      <c r="E249" s="23" t="s">
        <v>2250</v>
      </c>
      <c r="F249" s="23" t="s">
        <v>848</v>
      </c>
      <c r="G249" s="24">
        <v>2014.2017000000001</v>
      </c>
      <c r="H249" s="20"/>
      <c r="I249" s="20" t="s">
        <v>2251</v>
      </c>
      <c r="J249" s="20" t="s">
        <v>2252</v>
      </c>
      <c r="K249" s="16" t="s">
        <v>2253</v>
      </c>
      <c r="L249" s="20"/>
      <c r="M249" s="16" t="s">
        <v>2254</v>
      </c>
      <c r="N249" s="20"/>
      <c r="O249" s="20" t="s">
        <v>2255</v>
      </c>
      <c r="P249" s="16" t="s">
        <v>2256</v>
      </c>
      <c r="Q249" s="27" t="s">
        <v>2257</v>
      </c>
      <c r="R249" s="20" t="s">
        <v>2258</v>
      </c>
      <c r="S249" s="19">
        <v>49.780161999999898</v>
      </c>
      <c r="T249" s="19">
        <v>18.456315</v>
      </c>
      <c r="U249" s="20"/>
      <c r="V249" s="20"/>
      <c r="W249" s="20"/>
      <c r="X249" s="20"/>
      <c r="Y249" s="20"/>
      <c r="Z249" s="20"/>
      <c r="AA249" s="20" t="s">
        <v>47</v>
      </c>
      <c r="AB249" s="20"/>
      <c r="AC249" s="20"/>
      <c r="AD249" s="20"/>
      <c r="AE249" s="20"/>
      <c r="AF249" t="str">
        <f t="shared" si="0"/>
        <v>ANO</v>
      </c>
      <c r="AG249" s="20"/>
      <c r="AH249" s="20"/>
      <c r="AI249" s="20"/>
      <c r="AJ249" s="20"/>
      <c r="AK249" s="20"/>
    </row>
    <row r="250" spans="1:37">
      <c r="A250" s="6">
        <v>229</v>
      </c>
      <c r="B250" s="6" t="s">
        <v>2259</v>
      </c>
      <c r="C250" s="6" t="s">
        <v>2260</v>
      </c>
      <c r="D250" s="6" t="s">
        <v>1216</v>
      </c>
      <c r="E250" s="12" t="s">
        <v>2261</v>
      </c>
      <c r="F250" s="6" t="s">
        <v>73</v>
      </c>
      <c r="G250" s="18">
        <v>2007</v>
      </c>
      <c r="H250" s="6">
        <v>1000</v>
      </c>
      <c r="I250" s="13" t="str">
        <f>HYPERLINK("http://www.pivovargroll.cz","http://www.pivovargroll.cz")</f>
        <v>http://www.pivovargroll.cz</v>
      </c>
      <c r="J250" s="15" t="s">
        <v>2263</v>
      </c>
      <c r="K250" t="s">
        <v>2264</v>
      </c>
      <c r="L250" s="6"/>
      <c r="M250" s="6" t="s">
        <v>2265</v>
      </c>
      <c r="N250" s="6"/>
      <c r="O250" s="6" t="s">
        <v>2266</v>
      </c>
      <c r="P250" s="6"/>
      <c r="Q250" s="6"/>
      <c r="R250" s="6" t="s">
        <v>2267</v>
      </c>
      <c r="S250" s="6">
        <v>49.750373099999997</v>
      </c>
      <c r="T250" s="6">
        <v>13.3809392</v>
      </c>
      <c r="U250" s="6"/>
      <c r="V250" s="6"/>
      <c r="W250" s="6"/>
      <c r="X250" s="6"/>
      <c r="Y250" s="6" t="s">
        <v>47</v>
      </c>
      <c r="Z250" s="6" t="s">
        <v>47</v>
      </c>
      <c r="AA250" s="6"/>
      <c r="AB250" s="6"/>
      <c r="AC250" s="6"/>
      <c r="AD250" s="6"/>
      <c r="AE250" s="17" t="s">
        <v>47</v>
      </c>
      <c r="AF250" t="str">
        <f t="shared" si="0"/>
        <v>ANO</v>
      </c>
    </row>
    <row r="251" spans="1:37">
      <c r="A251" s="6">
        <v>230</v>
      </c>
      <c r="B251" s="6" t="s">
        <v>2268</v>
      </c>
      <c r="C251" s="6" t="s">
        <v>2269</v>
      </c>
      <c r="D251" s="6" t="s">
        <v>1920</v>
      </c>
      <c r="E251" s="12" t="s">
        <v>2270</v>
      </c>
      <c r="F251" s="6" t="s">
        <v>38</v>
      </c>
      <c r="G251" s="11">
        <v>2014</v>
      </c>
      <c r="H251" s="6">
        <v>600</v>
      </c>
      <c r="I251" s="13" t="str">
        <f>HYPERLINK("http://www.pivovarzamberk.wz.cz","http://www.pivovarzamberk.wz.cz")</f>
        <v>http://www.pivovarzamberk.wz.cz</v>
      </c>
      <c r="J251" s="13" t="str">
        <f>HYPERLINK("https://www.facebook.com/letohradskyjelen","https://www.facebook.com/letohradskyjelen")</f>
        <v>https://www.facebook.com/letohradskyjelen</v>
      </c>
      <c r="K251" s="6" t="s">
        <v>2273</v>
      </c>
      <c r="L251" s="6"/>
      <c r="M251" s="6" t="s">
        <v>2274</v>
      </c>
      <c r="N251" s="6"/>
      <c r="O251" s="6" t="s">
        <v>2275</v>
      </c>
      <c r="P251" s="6"/>
      <c r="Q251" s="15" t="s">
        <v>2276</v>
      </c>
      <c r="R251" s="6" t="s">
        <v>2277</v>
      </c>
      <c r="S251" s="6">
        <v>50.092112200000003</v>
      </c>
      <c r="T251" s="6">
        <v>16.482316099999998</v>
      </c>
      <c r="U251" s="6"/>
      <c r="V251" s="6"/>
      <c r="W251" s="6"/>
      <c r="X251" s="6"/>
      <c r="Y251" s="6"/>
      <c r="Z251" s="6"/>
      <c r="AA251" s="6"/>
      <c r="AB251" s="6" t="s">
        <v>47</v>
      </c>
      <c r="AD251" s="6" t="s">
        <v>47</v>
      </c>
      <c r="AE251" s="17" t="s">
        <v>47</v>
      </c>
      <c r="AF251" t="str">
        <f t="shared" si="0"/>
        <v>ANO</v>
      </c>
    </row>
    <row r="252" spans="1:37">
      <c r="A252" s="19">
        <v>231</v>
      </c>
      <c r="B252" s="20" t="s">
        <v>2279</v>
      </c>
      <c r="C252" s="20" t="s">
        <v>2280</v>
      </c>
      <c r="D252" s="16" t="s">
        <v>2281</v>
      </c>
      <c r="E252" s="23" t="s">
        <v>2282</v>
      </c>
      <c r="F252" s="20" t="s">
        <v>113</v>
      </c>
      <c r="G252" s="24">
        <v>2013.2016000000001</v>
      </c>
      <c r="H252" s="20"/>
      <c r="I252" s="20"/>
      <c r="J252" s="20"/>
      <c r="K252" s="26" t="s">
        <v>2283</v>
      </c>
      <c r="L252" s="20"/>
      <c r="M252" s="20"/>
      <c r="N252" s="20" t="s">
        <v>2284</v>
      </c>
      <c r="O252" s="16" t="s">
        <v>2285</v>
      </c>
      <c r="P252" s="16" t="s">
        <v>2286</v>
      </c>
      <c r="Q252" s="20"/>
      <c r="R252" s="20" t="s">
        <v>2287</v>
      </c>
      <c r="S252" s="19">
        <v>49.591475000000003</v>
      </c>
      <c r="T252" s="19">
        <v>17.2866129999999</v>
      </c>
      <c r="U252" s="20"/>
      <c r="V252" s="20"/>
      <c r="W252" s="20"/>
      <c r="X252" s="20"/>
      <c r="Y252" s="20" t="s">
        <v>47</v>
      </c>
      <c r="Z252" s="20"/>
      <c r="AA252" s="20"/>
      <c r="AB252" s="20"/>
      <c r="AC252" s="20"/>
      <c r="AD252" s="20"/>
      <c r="AE252" s="20"/>
      <c r="AF252" t="str">
        <f t="shared" si="0"/>
        <v>ANO</v>
      </c>
      <c r="AG252" s="20"/>
      <c r="AH252" s="20"/>
      <c r="AI252" s="20"/>
      <c r="AJ252" s="20"/>
      <c r="AK252" s="20"/>
    </row>
    <row r="253" spans="1:37">
      <c r="A253" s="6">
        <v>231</v>
      </c>
      <c r="B253" s="6" t="s">
        <v>2288</v>
      </c>
      <c r="C253" s="6" t="s">
        <v>2289</v>
      </c>
      <c r="D253" s="6" t="s">
        <v>2290</v>
      </c>
      <c r="E253" s="12" t="s">
        <v>2291</v>
      </c>
      <c r="F253" s="6" t="s">
        <v>57</v>
      </c>
      <c r="G253" s="11">
        <v>2014</v>
      </c>
      <c r="H253" s="6"/>
      <c r="I253" s="13" t="str">
        <f>HYPERLINK("http://www.joesgaragebeer.cz","http://www.joesgaragebeer.cz")</f>
        <v>http://www.joesgaragebeer.cz</v>
      </c>
      <c r="J253" s="6"/>
      <c r="K253" s="6" t="s">
        <v>2292</v>
      </c>
      <c r="L253" s="6"/>
      <c r="M253" s="6" t="s">
        <v>2293</v>
      </c>
      <c r="N253" s="6" t="s">
        <v>2294</v>
      </c>
      <c r="O253" s="6" t="s">
        <v>2288</v>
      </c>
      <c r="P253" s="6"/>
      <c r="Q253" s="6"/>
      <c r="R253" s="6" t="s">
        <v>2295</v>
      </c>
      <c r="S253" s="6">
        <v>49.755516999999898</v>
      </c>
      <c r="T253" s="6">
        <v>13.453533</v>
      </c>
      <c r="U253" s="6"/>
      <c r="V253" s="6"/>
      <c r="W253" s="6"/>
      <c r="X253" s="6"/>
      <c r="Y253" s="6"/>
      <c r="Z253" s="6"/>
      <c r="AA253" s="6"/>
      <c r="AB253" s="6"/>
      <c r="AD253" s="6"/>
      <c r="AE253" s="16"/>
      <c r="AF253" t="str">
        <f t="shared" si="0"/>
        <v/>
      </c>
    </row>
    <row r="254" spans="1:37">
      <c r="A254" s="6">
        <v>232</v>
      </c>
      <c r="B254" s="6" t="s">
        <v>2296</v>
      </c>
      <c r="C254" s="6" t="s">
        <v>2297</v>
      </c>
      <c r="D254" s="6" t="s">
        <v>843</v>
      </c>
      <c r="E254" s="12" t="s">
        <v>2298</v>
      </c>
      <c r="F254" s="6" t="s">
        <v>73</v>
      </c>
      <c r="G254" s="11">
        <v>2014</v>
      </c>
      <c r="H254" s="6"/>
      <c r="I254" s="13" t="str">
        <f>HYPERLINK("http://www.pivovarskarestaurace.com","http://www.pivovarskarestaurace.com")</f>
        <v>http://www.pivovarskarestaurace.com</v>
      </c>
      <c r="J254" s="13" t="str">
        <f>HYPERLINK("https://www.facebook.com/decinpivovar","https://www.facebook.com/decinpivovar")</f>
        <v>https://www.facebook.com/decinpivovar</v>
      </c>
      <c r="K254" s="6" t="s">
        <v>2300</v>
      </c>
      <c r="L254" s="6"/>
      <c r="M254" s="6" t="s">
        <v>2301</v>
      </c>
      <c r="N254" s="6"/>
      <c r="O254" s="6" t="s">
        <v>2302</v>
      </c>
      <c r="P254" s="6" t="s">
        <v>2303</v>
      </c>
      <c r="Q254" s="15" t="s">
        <v>2304</v>
      </c>
      <c r="R254" s="6" t="s">
        <v>2305</v>
      </c>
      <c r="S254" s="6">
        <v>50.771982999999899</v>
      </c>
      <c r="T254" s="6">
        <v>14.1932829999999</v>
      </c>
      <c r="U254" s="6"/>
      <c r="V254" s="6"/>
      <c r="W254" s="6"/>
      <c r="X254" s="6"/>
      <c r="Y254" s="6" t="s">
        <v>47</v>
      </c>
      <c r="Z254" s="6"/>
      <c r="AA254" s="6" t="s">
        <v>47</v>
      </c>
      <c r="AB254" s="6"/>
      <c r="AD254" s="6" t="s">
        <v>47</v>
      </c>
      <c r="AE254" s="17" t="s">
        <v>47</v>
      </c>
      <c r="AF254" t="str">
        <f t="shared" si="0"/>
        <v>ANO</v>
      </c>
    </row>
    <row r="255" spans="1:37">
      <c r="A255" s="6">
        <v>233</v>
      </c>
      <c r="B255" s="6" t="s">
        <v>2306</v>
      </c>
      <c r="C255" s="6" t="s">
        <v>2307</v>
      </c>
      <c r="D255" s="6" t="s">
        <v>555</v>
      </c>
      <c r="E255" s="12" t="s">
        <v>2308</v>
      </c>
      <c r="F255" s="6" t="s">
        <v>57</v>
      </c>
      <c r="G255" s="11">
        <v>2015</v>
      </c>
      <c r="H255" s="6"/>
      <c r="I255" s="13" t="str">
        <f>HYPERLINK("http://www.pivniceusneka.cz","http://www.pivniceusneka.cz")</f>
        <v>http://www.pivniceusneka.cz</v>
      </c>
      <c r="J255" s="13" t="str">
        <f>HYPERLINK("https://www.facebook.com/PivniceuSneka","https://www.facebook.com/PivniceuSneka")</f>
        <v>https://www.facebook.com/PivniceuSneka</v>
      </c>
      <c r="K255" s="6" t="s">
        <v>2309</v>
      </c>
      <c r="L255" s="6" t="s">
        <v>2310</v>
      </c>
      <c r="M255" s="6"/>
      <c r="N255" s="6" t="s">
        <v>2311</v>
      </c>
      <c r="O255" s="6" t="s">
        <v>2312</v>
      </c>
      <c r="P255" s="6" t="s">
        <v>2306</v>
      </c>
      <c r="Q255" s="6"/>
      <c r="R255" s="6" t="s">
        <v>2313</v>
      </c>
      <c r="S255" s="6">
        <v>48.850739699999998</v>
      </c>
      <c r="T255" s="6">
        <v>16.053238100000002</v>
      </c>
      <c r="U255" s="6"/>
      <c r="V255" s="6"/>
      <c r="W255" s="6"/>
      <c r="X255" s="6"/>
      <c r="Y255" s="6"/>
      <c r="Z255" s="6"/>
      <c r="AA255" s="6"/>
      <c r="AB255" s="6"/>
      <c r="AD255" s="6"/>
      <c r="AE255" s="16"/>
      <c r="AF255" t="str">
        <f t="shared" si="0"/>
        <v/>
      </c>
    </row>
    <row r="256" spans="1:37">
      <c r="A256" s="6">
        <v>234</v>
      </c>
      <c r="B256" s="6" t="s">
        <v>2314</v>
      </c>
      <c r="C256" s="6" t="s">
        <v>2315</v>
      </c>
      <c r="D256" s="6" t="s">
        <v>2316</v>
      </c>
      <c r="E256" s="12" t="s">
        <v>2317</v>
      </c>
      <c r="F256" s="6" t="s">
        <v>73</v>
      </c>
      <c r="G256" s="11">
        <v>2014</v>
      </c>
      <c r="H256" s="6"/>
      <c r="I256" s="13" t="str">
        <f>HYPERLINK("http://www.slezskypivovar.cz","http://www.slezskypivovar.cz")</f>
        <v>http://www.slezskypivovar.cz</v>
      </c>
      <c r="J256" s="13" t="str">
        <f>HYPERLINK("https://www.facebook.com/Hostinec-U-BalonaSLEZSKÝ-Pivovar-200870443291403","https://www.facebook.com/Hostinec-U-BalonaSLEZSKÝ-Pivovar-200870443291403")</f>
        <v>https://www.facebook.com/Hostinec-U-BalonaSLEZSKÝ-Pivovar-200870443291403</v>
      </c>
      <c r="K256" s="6" t="s">
        <v>2319</v>
      </c>
      <c r="L256" s="6"/>
      <c r="M256" s="6" t="s">
        <v>2320</v>
      </c>
      <c r="N256" s="6"/>
      <c r="O256" s="6" t="s">
        <v>2321</v>
      </c>
      <c r="P256" s="6" t="s">
        <v>2322</v>
      </c>
      <c r="Q256" s="6" t="s">
        <v>2323</v>
      </c>
      <c r="R256" s="6" t="s">
        <v>2324</v>
      </c>
      <c r="S256" s="6">
        <v>49.771619999999899</v>
      </c>
      <c r="T256" s="6">
        <v>18.434424</v>
      </c>
      <c r="U256" s="6"/>
      <c r="V256" s="6"/>
      <c r="W256" s="6"/>
      <c r="X256" s="6"/>
      <c r="Y256" s="6" t="s">
        <v>47</v>
      </c>
      <c r="Z256" s="6"/>
      <c r="AA256" s="6"/>
      <c r="AB256" s="6"/>
      <c r="AD256" s="6" t="s">
        <v>47</v>
      </c>
      <c r="AE256" s="17" t="s">
        <v>47</v>
      </c>
      <c r="AF256" t="str">
        <f t="shared" si="0"/>
        <v>ANO</v>
      </c>
    </row>
    <row r="257" spans="1:37">
      <c r="A257" s="19">
        <v>234</v>
      </c>
      <c r="B257" s="20" t="s">
        <v>2325</v>
      </c>
      <c r="C257" s="20" t="s">
        <v>2326</v>
      </c>
      <c r="D257" s="16" t="s">
        <v>2325</v>
      </c>
      <c r="E257" s="23" t="s">
        <v>2327</v>
      </c>
      <c r="F257" s="20" t="s">
        <v>113</v>
      </c>
      <c r="G257" s="35" t="s">
        <v>2328</v>
      </c>
      <c r="H257" s="20"/>
      <c r="I257" s="20"/>
      <c r="J257" s="16" t="s">
        <v>2329</v>
      </c>
      <c r="K257" s="26" t="s">
        <v>2330</v>
      </c>
      <c r="L257" s="20"/>
      <c r="M257" s="20" t="s">
        <v>2331</v>
      </c>
      <c r="N257" s="20" t="s">
        <v>2332</v>
      </c>
      <c r="O257" s="16" t="s">
        <v>2333</v>
      </c>
      <c r="P257" s="16" t="s">
        <v>2334</v>
      </c>
      <c r="Q257" s="20"/>
      <c r="R257" s="20" t="s">
        <v>2335</v>
      </c>
      <c r="S257" s="19">
        <v>49.429769999999898</v>
      </c>
      <c r="T257" s="19">
        <v>18.2186629999999</v>
      </c>
      <c r="U257" s="20"/>
      <c r="V257" s="20"/>
      <c r="W257" s="20"/>
      <c r="X257" s="20"/>
      <c r="Y257" s="20" t="s">
        <v>47</v>
      </c>
      <c r="Z257" s="20"/>
      <c r="AA257" s="20"/>
      <c r="AB257" s="20"/>
      <c r="AC257" s="20"/>
      <c r="AD257" s="20"/>
      <c r="AE257" s="20"/>
      <c r="AF257" t="str">
        <f t="shared" si="0"/>
        <v>ANO</v>
      </c>
      <c r="AG257" s="20"/>
      <c r="AH257" s="20"/>
      <c r="AI257" s="20"/>
      <c r="AJ257" s="20"/>
      <c r="AK257" s="20"/>
    </row>
    <row r="258" spans="1:37">
      <c r="A258" s="6">
        <v>235</v>
      </c>
      <c r="B258" s="6" t="s">
        <v>2336</v>
      </c>
      <c r="C258" s="6" t="s">
        <v>2337</v>
      </c>
      <c r="D258" s="6" t="s">
        <v>1040</v>
      </c>
      <c r="E258" s="12" t="s">
        <v>2338</v>
      </c>
      <c r="F258" s="6" t="s">
        <v>38</v>
      </c>
      <c r="G258" s="11">
        <v>2014</v>
      </c>
      <c r="H258" s="6"/>
      <c r="I258" s="13" t="str">
        <f>HYPERLINK("http://www.pivovarkrcin.cz","http://www.pivovarkrcin.cz")</f>
        <v>http://www.pivovarkrcin.cz</v>
      </c>
      <c r="J258" s="13" t="str">
        <f>HYPERLINK("https://www.facebook.com/pivovarkrcin","https://www.facebook.com/pivovarkrcin")</f>
        <v>https://www.facebook.com/pivovarkrcin</v>
      </c>
      <c r="K258" s="6" t="s">
        <v>2340</v>
      </c>
      <c r="L258" s="6"/>
      <c r="M258" s="6" t="s">
        <v>2341</v>
      </c>
      <c r="N258" s="6"/>
      <c r="O258" s="6" t="s">
        <v>2342</v>
      </c>
      <c r="P258" s="6"/>
      <c r="Q258" s="6"/>
      <c r="R258" s="6" t="s">
        <v>2343</v>
      </c>
      <c r="S258" s="6">
        <v>49.654454200000004</v>
      </c>
      <c r="T258" s="6">
        <v>14.447677499999999</v>
      </c>
      <c r="U258" s="6"/>
      <c r="V258" s="6"/>
      <c r="W258" s="6"/>
      <c r="X258" s="6"/>
      <c r="Y258" s="6"/>
      <c r="Z258" s="6" t="s">
        <v>47</v>
      </c>
      <c r="AA258" s="6"/>
      <c r="AB258" s="6"/>
      <c r="AD258" s="6"/>
      <c r="AE258" s="16"/>
      <c r="AF258" t="str">
        <f t="shared" si="0"/>
        <v>ANO</v>
      </c>
    </row>
    <row r="259" spans="1:37">
      <c r="A259" s="6">
        <v>236</v>
      </c>
      <c r="B259" s="6" t="s">
        <v>2345</v>
      </c>
      <c r="C259" s="6" t="s">
        <v>2346</v>
      </c>
      <c r="D259" s="6" t="s">
        <v>2345</v>
      </c>
      <c r="E259" s="12" t="s">
        <v>2347</v>
      </c>
      <c r="F259" s="6" t="s">
        <v>73</v>
      </c>
      <c r="G259" s="11">
        <v>2014</v>
      </c>
      <c r="H259" s="6"/>
      <c r="I259" s="13" t="str">
        <f>HYPERLINK("http://www.pivovarletiny.cz","http://www.pivovarletiny.cz")</f>
        <v>http://www.pivovarletiny.cz</v>
      </c>
      <c r="J259" s="13" t="str">
        <f>HYPERLINK("https://www.facebook.com/pivovarletiny","https://www.facebook.com/pivovarletiny")</f>
        <v>https://www.facebook.com/pivovarletiny</v>
      </c>
      <c r="K259" s="6" t="s">
        <v>2348</v>
      </c>
      <c r="L259" s="6"/>
      <c r="M259" s="6" t="s">
        <v>2349</v>
      </c>
      <c r="N259" s="6"/>
      <c r="O259" s="6" t="s">
        <v>2350</v>
      </c>
      <c r="P259" s="6"/>
      <c r="Q259" s="6"/>
      <c r="R259" s="6" t="s">
        <v>2351</v>
      </c>
      <c r="S259" s="6">
        <v>49.5398906</v>
      </c>
      <c r="T259" s="6">
        <v>13.455411700000001</v>
      </c>
      <c r="U259" s="6"/>
      <c r="V259" s="6"/>
      <c r="W259" s="6"/>
      <c r="X259" s="6"/>
      <c r="Y259" s="6"/>
      <c r="Z259" s="6" t="s">
        <v>47</v>
      </c>
      <c r="AA259" s="6"/>
      <c r="AB259" s="6"/>
      <c r="AD259" s="6"/>
      <c r="AE259" s="17" t="s">
        <v>47</v>
      </c>
      <c r="AF259" t="str">
        <f t="shared" si="0"/>
        <v>ANO</v>
      </c>
    </row>
    <row r="260" spans="1:37">
      <c r="A260" s="6">
        <v>237</v>
      </c>
      <c r="B260" s="6" t="s">
        <v>2352</v>
      </c>
      <c r="C260" s="6" t="s">
        <v>2353</v>
      </c>
      <c r="D260" s="6" t="s">
        <v>2354</v>
      </c>
      <c r="E260" s="12" t="s">
        <v>2355</v>
      </c>
      <c r="F260" s="6" t="s">
        <v>57</v>
      </c>
      <c r="G260" s="11">
        <v>2014</v>
      </c>
      <c r="H260" s="6">
        <v>12</v>
      </c>
      <c r="I260" s="13" t="str">
        <f>HYPERLINK("http://www.pivo-trubadur.cz","http://www.pivo-trubadur.cz")</f>
        <v>http://www.pivo-trubadur.cz</v>
      </c>
      <c r="J260" s="13" t="str">
        <f>HYPERLINK("https://www.facebook.com/Domácí-pivovar-Trubadúr-317560924946810","https://www.facebook.com/Domácí-pivovar-Trubadúr-317560924946810")</f>
        <v>https://www.facebook.com/Domácí-pivovar-Trubadúr-317560924946810</v>
      </c>
      <c r="K260" s="6" t="s">
        <v>2356</v>
      </c>
      <c r="L260" s="6"/>
      <c r="M260" s="6" t="s">
        <v>2357</v>
      </c>
      <c r="N260" s="6" t="s">
        <v>2358</v>
      </c>
      <c r="O260" s="6" t="s">
        <v>2352</v>
      </c>
      <c r="P260" s="6"/>
      <c r="Q260" s="6"/>
      <c r="R260" s="6" t="s">
        <v>2359</v>
      </c>
      <c r="S260" s="6">
        <v>49.826458000000002</v>
      </c>
      <c r="T260" s="6">
        <v>17.065653999999899</v>
      </c>
      <c r="U260" s="6"/>
      <c r="V260" s="6"/>
      <c r="W260" s="6"/>
      <c r="X260" s="6"/>
      <c r="Y260" s="6"/>
      <c r="Z260" s="6"/>
      <c r="AA260" s="6"/>
      <c r="AB260" s="6"/>
      <c r="AD260" s="6"/>
      <c r="AE260" s="16"/>
      <c r="AF260" t="str">
        <f t="shared" si="0"/>
        <v/>
      </c>
    </row>
    <row r="261" spans="1:37">
      <c r="A261" s="6">
        <v>238</v>
      </c>
      <c r="B261" s="6" t="s">
        <v>2360</v>
      </c>
      <c r="C261" s="6" t="s">
        <v>2361</v>
      </c>
      <c r="D261" s="6" t="s">
        <v>2360</v>
      </c>
      <c r="E261" s="12" t="s">
        <v>2362</v>
      </c>
      <c r="F261" s="6" t="s">
        <v>57</v>
      </c>
      <c r="G261" s="11">
        <v>2014</v>
      </c>
      <c r="H261" s="6"/>
      <c r="I261" s="13" t="str">
        <f>HYPERLINK("http://pivovar-doubravnik.webnode.cz","http://pivovar-doubravnik.webnode.cz")</f>
        <v>http://pivovar-doubravnik.webnode.cz</v>
      </c>
      <c r="J261" s="13" t="str">
        <f>HYPERLINK("https://www.facebook.com/doubravnik.pivovar","https://www.facebook.com/doubravnik.pivovar")</f>
        <v>https://www.facebook.com/doubravnik.pivovar</v>
      </c>
      <c r="K261" s="6" t="s">
        <v>2364</v>
      </c>
      <c r="L261" s="6"/>
      <c r="M261" s="6" t="s">
        <v>2365</v>
      </c>
      <c r="N261" s="6"/>
      <c r="O261" s="6" t="s">
        <v>2366</v>
      </c>
      <c r="P261" s="6"/>
      <c r="Q261" s="15" t="s">
        <v>2367</v>
      </c>
      <c r="R261" s="6" t="s">
        <v>2368</v>
      </c>
      <c r="S261" s="6">
        <v>49.427261000000001</v>
      </c>
      <c r="T261" s="6">
        <v>16.357745999999899</v>
      </c>
      <c r="U261" s="6"/>
      <c r="V261" s="6"/>
      <c r="W261" s="6"/>
      <c r="X261" s="6"/>
      <c r="Y261" s="6"/>
      <c r="Z261" s="6"/>
      <c r="AA261" s="6"/>
      <c r="AB261" s="6"/>
      <c r="AD261" s="6"/>
      <c r="AE261" s="16"/>
      <c r="AF261" t="str">
        <f t="shared" si="0"/>
        <v/>
      </c>
    </row>
    <row r="262" spans="1:37">
      <c r="A262" s="6">
        <v>239</v>
      </c>
      <c r="B262" s="6" t="s">
        <v>2369</v>
      </c>
      <c r="C262" s="6" t="s">
        <v>2370</v>
      </c>
      <c r="D262" s="6" t="s">
        <v>2371</v>
      </c>
      <c r="E262" s="12" t="s">
        <v>2372</v>
      </c>
      <c r="F262" s="6" t="s">
        <v>73</v>
      </c>
      <c r="G262" s="11">
        <v>2014</v>
      </c>
      <c r="H262" s="6"/>
      <c r="I262" s="13" t="str">
        <f>HYPERLINK("http://pivovarsedivak.cz","http://pivovarsedivak.cz")</f>
        <v>http://pivovarsedivak.cz</v>
      </c>
      <c r="J262" s="13" t="str">
        <f>HYPERLINK("https://www.facebook.com/PivovarSedivak","https://www.facebook.com/PivovarSedivak")</f>
        <v>https://www.facebook.com/PivovarSedivak</v>
      </c>
      <c r="K262" s="6" t="s">
        <v>2373</v>
      </c>
      <c r="L262" s="6"/>
      <c r="M262" s="6"/>
      <c r="N262" s="6"/>
      <c r="O262" s="6" t="s">
        <v>2369</v>
      </c>
      <c r="P262" s="6"/>
      <c r="Q262" s="6"/>
      <c r="R262" s="6" t="s">
        <v>2374</v>
      </c>
      <c r="S262" s="6">
        <v>50.131570000000004</v>
      </c>
      <c r="T262" s="6">
        <v>14.424396</v>
      </c>
      <c r="U262" s="6"/>
      <c r="V262" s="6"/>
      <c r="W262" s="6"/>
      <c r="X262" s="6"/>
      <c r="Y262" s="6"/>
      <c r="Z262" s="6"/>
      <c r="AA262" s="6"/>
      <c r="AB262" s="6"/>
      <c r="AD262" s="6"/>
      <c r="AE262" s="17" t="s">
        <v>47</v>
      </c>
      <c r="AF262" t="str">
        <f t="shared" si="0"/>
        <v>ANO</v>
      </c>
    </row>
    <row r="263" spans="1:37">
      <c r="A263" s="6">
        <v>240</v>
      </c>
      <c r="B263" s="6" t="s">
        <v>2375</v>
      </c>
      <c r="C263" s="6" t="s">
        <v>2376</v>
      </c>
      <c r="D263" s="6" t="s">
        <v>2377</v>
      </c>
      <c r="E263" s="12" t="s">
        <v>2378</v>
      </c>
      <c r="F263" s="6" t="s">
        <v>38</v>
      </c>
      <c r="G263" s="11">
        <v>2014</v>
      </c>
      <c r="H263" s="6"/>
      <c r="I263" s="13" t="str">
        <f>HYPERLINK("http://www.pivovarclock.cz","http://www.pivovarclock.cz")</f>
        <v>http://www.pivovarclock.cz</v>
      </c>
      <c r="J263" s="13" t="str">
        <f>HYPERLINK("https://www.facebook.com/pivovarclock","https://www.facebook.com/pivovarclock")</f>
        <v>https://www.facebook.com/pivovarclock</v>
      </c>
      <c r="K263" s="6" t="s">
        <v>2379</v>
      </c>
      <c r="L263" s="6"/>
      <c r="M263" s="6" t="s">
        <v>2380</v>
      </c>
      <c r="N263" s="6"/>
      <c r="O263" s="6" t="s">
        <v>2381</v>
      </c>
      <c r="P263" s="6"/>
      <c r="Q263" s="15" t="s">
        <v>2382</v>
      </c>
      <c r="R263" s="6" t="s">
        <v>2383</v>
      </c>
      <c r="S263" s="6">
        <v>50.082287000000001</v>
      </c>
      <c r="T263" s="6">
        <v>16.307551</v>
      </c>
      <c r="U263" s="6"/>
      <c r="V263" s="6"/>
      <c r="W263" s="6"/>
      <c r="X263" s="6"/>
      <c r="Y263" s="6" t="s">
        <v>47</v>
      </c>
      <c r="Z263" s="6" t="s">
        <v>47</v>
      </c>
      <c r="AA263" s="6" t="s">
        <v>47</v>
      </c>
      <c r="AB263" s="6" t="s">
        <v>47</v>
      </c>
      <c r="AD263" s="6" t="s">
        <v>47</v>
      </c>
      <c r="AE263" s="17" t="s">
        <v>47</v>
      </c>
      <c r="AF263" t="str">
        <f t="shared" si="0"/>
        <v>ANO</v>
      </c>
    </row>
    <row r="264" spans="1:37">
      <c r="A264" s="6">
        <v>241</v>
      </c>
      <c r="B264" s="6" t="s">
        <v>2384</v>
      </c>
      <c r="C264" s="6" t="s">
        <v>2385</v>
      </c>
      <c r="D264" s="6" t="s">
        <v>298</v>
      </c>
      <c r="E264" s="12" t="s">
        <v>2386</v>
      </c>
      <c r="F264" s="6" t="s">
        <v>73</v>
      </c>
      <c r="G264" s="11">
        <v>2014</v>
      </c>
      <c r="H264" s="6"/>
      <c r="I264" s="13" t="str">
        <f>HYPERLINK("http://krajinska27.cz","http://krajinska27.cz")</f>
        <v>http://krajinska27.cz</v>
      </c>
      <c r="J264" s="13" t="str">
        <f>HYPERLINK("https://www.facebook.com/krajinska27","https://www.facebook.com/krajinska27")</f>
        <v>https://www.facebook.com/krajinska27</v>
      </c>
      <c r="K264" s="6" t="s">
        <v>2387</v>
      </c>
      <c r="L264" s="6"/>
      <c r="M264" s="6" t="s">
        <v>2388</v>
      </c>
      <c r="N264" s="6"/>
      <c r="O264" s="6" t="s">
        <v>2389</v>
      </c>
      <c r="P264" s="6"/>
      <c r="Q264" s="6"/>
      <c r="R264" s="6" t="s">
        <v>2390</v>
      </c>
      <c r="S264" s="6">
        <v>48.976880000000001</v>
      </c>
      <c r="T264" s="6">
        <v>14.4736809999999</v>
      </c>
      <c r="U264" s="6"/>
      <c r="V264" s="6"/>
      <c r="W264" s="6"/>
      <c r="X264" s="6"/>
      <c r="Y264" s="6"/>
      <c r="Z264" s="6" t="s">
        <v>47</v>
      </c>
      <c r="AA264" s="6"/>
      <c r="AB264" s="6"/>
      <c r="AD264" s="6"/>
      <c r="AE264" s="17" t="s">
        <v>47</v>
      </c>
      <c r="AF264" t="str">
        <f t="shared" si="0"/>
        <v>ANO</v>
      </c>
    </row>
    <row r="265" spans="1:37">
      <c r="A265" s="6">
        <v>242</v>
      </c>
      <c r="B265" s="6" t="s">
        <v>2391</v>
      </c>
      <c r="C265" s="6" t="s">
        <v>2392</v>
      </c>
      <c r="D265" s="6" t="s">
        <v>2393</v>
      </c>
      <c r="E265" s="12" t="s">
        <v>2394</v>
      </c>
      <c r="F265" s="6" t="s">
        <v>73</v>
      </c>
      <c r="G265" s="11">
        <v>2014</v>
      </c>
      <c r="H265" s="6"/>
      <c r="I265" s="13" t="str">
        <f>HYPERLINK("http://www.pivovarvranik.cz","http://www.pivovarvranik.cz")</f>
        <v>http://www.pivovarvranik.cz</v>
      </c>
      <c r="J265" s="13" t="str">
        <f>HYPERLINK("https://www.facebook.com/pivovarvranik","https://www.facebook.com/pivovarvranik")</f>
        <v>https://www.facebook.com/pivovarvranik</v>
      </c>
      <c r="K265" s="6" t="s">
        <v>2396</v>
      </c>
      <c r="L265" s="6"/>
      <c r="M265" s="6"/>
      <c r="N265" s="6"/>
      <c r="O265" s="6" t="s">
        <v>2391</v>
      </c>
      <c r="P265" s="6"/>
      <c r="Q265" s="15" t="s">
        <v>2397</v>
      </c>
      <c r="R265" s="6" t="s">
        <v>2398</v>
      </c>
      <c r="S265" s="6">
        <v>49.298448999999898</v>
      </c>
      <c r="T265" s="6">
        <v>17.843848000000001</v>
      </c>
      <c r="U265" s="6"/>
      <c r="V265" s="6"/>
      <c r="W265" s="6"/>
      <c r="X265" s="6"/>
      <c r="Y265" s="6"/>
      <c r="Z265" s="6"/>
      <c r="AA265" s="6"/>
      <c r="AB265" s="6"/>
      <c r="AD265" s="6"/>
      <c r="AE265" s="17" t="s">
        <v>47</v>
      </c>
      <c r="AF265" t="str">
        <f t="shared" si="0"/>
        <v>ANO</v>
      </c>
    </row>
    <row r="266" spans="1:37">
      <c r="A266" s="6">
        <v>243</v>
      </c>
      <c r="B266" s="6" t="s">
        <v>2061</v>
      </c>
      <c r="C266" s="6" t="s">
        <v>2399</v>
      </c>
      <c r="D266" s="6" t="s">
        <v>2400</v>
      </c>
      <c r="E266" s="12" t="s">
        <v>2401</v>
      </c>
      <c r="F266" s="6" t="s">
        <v>73</v>
      </c>
      <c r="G266" s="11">
        <v>2014</v>
      </c>
      <c r="H266" s="6"/>
      <c r="I266" s="13" t="str">
        <f>HYPERLINK("http://www.karvinskepivo.cz","http://www.karvinskepivo.cz")</f>
        <v>http://www.karvinskepivo.cz</v>
      </c>
      <c r="J266" s="13" t="str">
        <f>HYPERLINK("https://www.facebook.com/PivovarKarvina","https://www.facebook.com/PivovarKarvina")</f>
        <v>https://www.facebook.com/PivovarKarvina</v>
      </c>
      <c r="K266" s="6" t="s">
        <v>2402</v>
      </c>
      <c r="L266" s="6"/>
      <c r="M266" s="6" t="s">
        <v>2403</v>
      </c>
      <c r="N266" s="6"/>
      <c r="O266" s="6" t="s">
        <v>2404</v>
      </c>
      <c r="P266" s="6" t="s">
        <v>2405</v>
      </c>
      <c r="Q266" s="6"/>
      <c r="R266" s="6" t="s">
        <v>2406</v>
      </c>
      <c r="S266" s="6">
        <v>49.854529999999897</v>
      </c>
      <c r="T266" s="6">
        <v>18.5403009999999</v>
      </c>
      <c r="U266" s="6"/>
      <c r="V266" s="6"/>
      <c r="W266" s="6"/>
      <c r="X266" s="6"/>
      <c r="Y266" s="6"/>
      <c r="Z266" s="6"/>
      <c r="AA266" s="6"/>
      <c r="AB266" s="6"/>
      <c r="AD266" s="6"/>
      <c r="AE266" s="17" t="s">
        <v>47</v>
      </c>
      <c r="AF266" t="str">
        <f t="shared" si="0"/>
        <v>ANO</v>
      </c>
    </row>
    <row r="267" spans="1:37">
      <c r="A267" s="6">
        <v>244</v>
      </c>
      <c r="B267" s="6" t="s">
        <v>2407</v>
      </c>
      <c r="C267" s="6" t="s">
        <v>2408</v>
      </c>
      <c r="D267" s="6" t="s">
        <v>1018</v>
      </c>
      <c r="E267" s="12" t="s">
        <v>2409</v>
      </c>
      <c r="F267" s="6" t="s">
        <v>73</v>
      </c>
      <c r="G267" s="11">
        <v>2014</v>
      </c>
      <c r="H267" s="6">
        <v>40</v>
      </c>
      <c r="I267" s="13" t="str">
        <f>HYPERLINK("http://www.charliesbeer.cz","http://www.charliesbeer.cz")</f>
        <v>http://www.charliesbeer.cz</v>
      </c>
      <c r="J267" s="13" t="str">
        <f>HYPERLINK("https://www.facebook.com/www.charliessquare.cz","https://www.facebook.com/www.charliessquare.cz")</f>
        <v>https://www.facebook.com/www.charliessquare.cz</v>
      </c>
      <c r="K267" s="6" t="s">
        <v>2410</v>
      </c>
      <c r="L267" s="6"/>
      <c r="M267" s="6" t="s">
        <v>2407</v>
      </c>
      <c r="N267" s="6"/>
      <c r="O267" s="6" t="s">
        <v>2411</v>
      </c>
      <c r="P267" s="6" t="s">
        <v>2407</v>
      </c>
      <c r="Q267" s="15" t="s">
        <v>2412</v>
      </c>
      <c r="R267" s="6" t="s">
        <v>2413</v>
      </c>
      <c r="S267" s="6">
        <v>49.192724400000003</v>
      </c>
      <c r="T267" s="6">
        <v>16.6112872</v>
      </c>
      <c r="U267" s="6"/>
      <c r="V267" s="6"/>
      <c r="W267" s="6"/>
      <c r="X267" s="6"/>
      <c r="Y267" s="6"/>
      <c r="Z267" s="6" t="s">
        <v>47</v>
      </c>
      <c r="AA267" s="6"/>
      <c r="AB267" s="6"/>
      <c r="AD267" s="6"/>
      <c r="AE267" s="17" t="s">
        <v>47</v>
      </c>
      <c r="AF267" t="str">
        <f t="shared" si="0"/>
        <v>ANO</v>
      </c>
    </row>
    <row r="268" spans="1:37">
      <c r="A268" s="6">
        <v>245</v>
      </c>
      <c r="B268" s="6" t="s">
        <v>2414</v>
      </c>
      <c r="C268" s="6" t="s">
        <v>2415</v>
      </c>
      <c r="D268" s="6" t="s">
        <v>2414</v>
      </c>
      <c r="E268" s="12" t="s">
        <v>2416</v>
      </c>
      <c r="F268" s="6" t="s">
        <v>57</v>
      </c>
      <c r="G268" s="11">
        <v>2015</v>
      </c>
      <c r="H268" s="6"/>
      <c r="I268" s="13" t="str">
        <f>HYPERLINK("http://www.pivovarpadochov.cz","http://www.pivovarpadochov.cz")</f>
        <v>http://www.pivovarpadochov.cz</v>
      </c>
      <c r="J268" s="13" t="str">
        <f>HYPERLINK("https://www.facebook.com/pivovarpadochov","https://www.facebook.com/pivovarpadochov")</f>
        <v>https://www.facebook.com/pivovarpadochov</v>
      </c>
      <c r="K268" s="6" t="s">
        <v>2417</v>
      </c>
      <c r="L268" s="6"/>
      <c r="M268" s="6" t="s">
        <v>2418</v>
      </c>
      <c r="N268" s="6"/>
      <c r="O268" s="6" t="s">
        <v>2419</v>
      </c>
      <c r="P268" s="6"/>
      <c r="Q268" s="15" t="s">
        <v>2420</v>
      </c>
      <c r="R268" s="6" t="s">
        <v>2421</v>
      </c>
      <c r="S268" s="6">
        <v>49.137847000000001</v>
      </c>
      <c r="T268" s="6">
        <v>16.348416</v>
      </c>
      <c r="U268" s="6"/>
      <c r="V268" s="6"/>
      <c r="W268" s="6"/>
      <c r="X268" s="6"/>
      <c r="Y268" s="6"/>
      <c r="Z268" s="6"/>
      <c r="AA268" s="6"/>
      <c r="AB268" s="6" t="s">
        <v>47</v>
      </c>
      <c r="AD268" s="6" t="s">
        <v>47</v>
      </c>
      <c r="AE268" s="17" t="s">
        <v>47</v>
      </c>
      <c r="AF268" t="str">
        <f t="shared" si="0"/>
        <v>ANO</v>
      </c>
    </row>
    <row r="269" spans="1:37">
      <c r="A269" s="6">
        <v>246</v>
      </c>
      <c r="B269" s="6" t="s">
        <v>2422</v>
      </c>
      <c r="C269" s="6" t="s">
        <v>2423</v>
      </c>
      <c r="D269" s="6" t="s">
        <v>2424</v>
      </c>
      <c r="E269" s="12" t="s">
        <v>2425</v>
      </c>
      <c r="F269" s="6" t="s">
        <v>38</v>
      </c>
      <c r="G269" s="11">
        <v>2014</v>
      </c>
      <c r="H269" s="6"/>
      <c r="I269" s="13" t="str">
        <f>HYPERLINK("http://www.uvacku.cz","http://www.uvacku.cz")</f>
        <v>http://www.uvacku.cz</v>
      </c>
      <c r="J269" s="13" t="str">
        <f>HYPERLINK("https://www.facebook.com/Rodinný-pivovar-U-Vacků-283576038489814","https://www.facebook.com/Rodinný-pivovar-U-Vacků-283576038489814")</f>
        <v>https://www.facebook.com/Rodinný-pivovar-U-Vacků-283576038489814</v>
      </c>
      <c r="K269" s="6" t="s">
        <v>2428</v>
      </c>
      <c r="L269" s="6"/>
      <c r="M269" s="6"/>
      <c r="N269" s="6"/>
      <c r="O269" s="6" t="s">
        <v>2429</v>
      </c>
      <c r="P269" s="6"/>
      <c r="Q269" s="6" t="s">
        <v>2430</v>
      </c>
      <c r="R269" s="6" t="s">
        <v>2431</v>
      </c>
      <c r="S269" s="6">
        <v>50.154680999999897</v>
      </c>
      <c r="T269" s="6">
        <v>15.459239</v>
      </c>
      <c r="U269" s="6"/>
      <c r="V269" s="6"/>
      <c r="W269" s="6"/>
      <c r="X269" s="6"/>
      <c r="Y269" s="6" t="s">
        <v>47</v>
      </c>
      <c r="Z269" s="6"/>
      <c r="AA269" s="6"/>
      <c r="AB269" s="6"/>
      <c r="AD269" s="6"/>
      <c r="AE269" s="16"/>
      <c r="AF269" t="str">
        <f t="shared" si="0"/>
        <v>ANO</v>
      </c>
    </row>
    <row r="270" spans="1:37">
      <c r="A270" s="6">
        <v>247</v>
      </c>
      <c r="B270" s="6" t="s">
        <v>2432</v>
      </c>
      <c r="C270" s="6" t="s">
        <v>2433</v>
      </c>
      <c r="D270" s="6" t="s">
        <v>2434</v>
      </c>
      <c r="E270" s="12" t="s">
        <v>2435</v>
      </c>
      <c r="F270" s="6" t="s">
        <v>73</v>
      </c>
      <c r="G270" s="11">
        <v>2014</v>
      </c>
      <c r="H270" s="6"/>
      <c r="I270" s="13" t="str">
        <f>HYPERLINK("http://www.pivovar-luziny.cz","http://www.pivovar-luziny.cz")</f>
        <v>http://www.pivovar-luziny.cz</v>
      </c>
      <c r="J270" s="13" t="str">
        <f>HYPERLINK("https://www.facebook.com/PivovarLuziny","https://www.facebook.com/PivovarLuziny")</f>
        <v>https://www.facebook.com/PivovarLuziny</v>
      </c>
      <c r="K270" s="6" t="s">
        <v>2436</v>
      </c>
      <c r="L270" s="6"/>
      <c r="M270" s="6" t="s">
        <v>2437</v>
      </c>
      <c r="N270" s="6"/>
      <c r="O270" s="6" t="s">
        <v>2438</v>
      </c>
      <c r="P270" s="6"/>
      <c r="Q270" s="15" t="s">
        <v>2439</v>
      </c>
      <c r="R270" s="6" t="s">
        <v>2440</v>
      </c>
      <c r="S270" s="6">
        <v>50.044060000000002</v>
      </c>
      <c r="T270" s="6">
        <v>14.331552</v>
      </c>
      <c r="U270" s="6"/>
      <c r="V270" s="6"/>
      <c r="W270" s="6"/>
      <c r="X270" s="6"/>
      <c r="Y270" s="6"/>
      <c r="Z270" s="6"/>
      <c r="AA270" s="6" t="s">
        <v>47</v>
      </c>
      <c r="AB270" s="6"/>
      <c r="AD270" s="6"/>
      <c r="AE270" s="17" t="s">
        <v>47</v>
      </c>
      <c r="AF270" t="str">
        <f t="shared" si="0"/>
        <v>ANO</v>
      </c>
    </row>
    <row r="271" spans="1:37">
      <c r="A271" s="6">
        <v>248</v>
      </c>
      <c r="B271" s="6" t="s">
        <v>2441</v>
      </c>
      <c r="C271" s="6" t="s">
        <v>2442</v>
      </c>
      <c r="D271" s="6" t="s">
        <v>2443</v>
      </c>
      <c r="E271" s="12" t="s">
        <v>2444</v>
      </c>
      <c r="F271" s="6" t="s">
        <v>38</v>
      </c>
      <c r="G271" s="11">
        <v>2015</v>
      </c>
      <c r="H271" s="6"/>
      <c r="I271" s="13" t="str">
        <f>HYPERLINK("http://pivovarhostomice.cz","http://pivovarhostomice.cz")</f>
        <v>http://pivovarhostomice.cz</v>
      </c>
      <c r="J271" s="13" t="str">
        <f>HYPERLINK("https://www.facebook.com/pivovarhostomicepodbrdy","https://www.facebook.com/pivovarhostomicepodbrdy")</f>
        <v>https://www.facebook.com/pivovarhostomicepodbrdy</v>
      </c>
      <c r="K271" s="6" t="s">
        <v>2445</v>
      </c>
      <c r="L271" s="6"/>
      <c r="M271" s="6" t="s">
        <v>2446</v>
      </c>
      <c r="N271" s="6"/>
      <c r="O271" s="6" t="s">
        <v>2447</v>
      </c>
      <c r="P271" s="6"/>
      <c r="Q271" s="15" t="s">
        <v>2448</v>
      </c>
      <c r="R271" s="6" t="s">
        <v>2449</v>
      </c>
      <c r="S271" s="6">
        <v>49.8234309999999</v>
      </c>
      <c r="T271" s="6">
        <v>14.044143</v>
      </c>
      <c r="U271" s="6"/>
      <c r="V271" s="6"/>
      <c r="W271" s="6"/>
      <c r="X271" s="6"/>
      <c r="Y271" s="6"/>
      <c r="Z271" s="6" t="s">
        <v>47</v>
      </c>
      <c r="AA271" s="6"/>
      <c r="AB271" s="6"/>
      <c r="AD271" s="6"/>
      <c r="AE271" s="17" t="s">
        <v>47</v>
      </c>
      <c r="AF271" t="str">
        <f t="shared" si="0"/>
        <v>ANO</v>
      </c>
    </row>
    <row r="272" spans="1:37">
      <c r="A272" s="6">
        <v>249</v>
      </c>
      <c r="B272" s="6" t="s">
        <v>2450</v>
      </c>
      <c r="C272" s="6" t="s">
        <v>2451</v>
      </c>
      <c r="D272" s="6" t="s">
        <v>2452</v>
      </c>
      <c r="E272" s="12" t="s">
        <v>2453</v>
      </c>
      <c r="F272" s="6" t="s">
        <v>38</v>
      </c>
      <c r="G272" s="11">
        <v>2014</v>
      </c>
      <c r="H272" s="6"/>
      <c r="I272" s="13" t="str">
        <f>HYPERLINK("http://www.podripske-pivo.cz","http://www.podripske-pivo.cz")</f>
        <v>http://www.podripske-pivo.cz</v>
      </c>
      <c r="J272" s="13" t="str">
        <f>HYPERLINK("https://www.facebook.com/podripskepivo","https://www.facebook.com/podripskepivo")</f>
        <v>https://www.facebook.com/podripskepivo</v>
      </c>
      <c r="K272" s="6" t="s">
        <v>2455</v>
      </c>
      <c r="L272" s="6"/>
      <c r="M272" s="6"/>
      <c r="N272" s="6"/>
      <c r="O272" s="6" t="s">
        <v>2456</v>
      </c>
      <c r="P272" s="6"/>
      <c r="Q272" s="6"/>
      <c r="R272" s="6" t="s">
        <v>2457</v>
      </c>
      <c r="S272" s="6">
        <v>50.373023000000003</v>
      </c>
      <c r="T272" s="6">
        <v>14.306996</v>
      </c>
      <c r="U272" s="6"/>
      <c r="V272" s="6"/>
      <c r="W272" s="6"/>
      <c r="X272" s="6"/>
      <c r="Y272" s="6"/>
      <c r="Z272" s="6" t="s">
        <v>47</v>
      </c>
      <c r="AA272" s="6"/>
      <c r="AB272" s="6"/>
      <c r="AD272" s="6"/>
      <c r="AE272" s="17" t="s">
        <v>47</v>
      </c>
      <c r="AF272" t="str">
        <f t="shared" si="0"/>
        <v>ANO</v>
      </c>
    </row>
    <row r="273" spans="1:37">
      <c r="A273" s="19">
        <v>249</v>
      </c>
      <c r="B273" s="20" t="s">
        <v>2458</v>
      </c>
      <c r="C273" s="20" t="s">
        <v>2459</v>
      </c>
      <c r="D273" s="20" t="s">
        <v>819</v>
      </c>
      <c r="E273" s="9" t="s">
        <v>2460</v>
      </c>
      <c r="F273" s="20" t="s">
        <v>113</v>
      </c>
      <c r="G273" s="24">
        <v>2014.2017000000001</v>
      </c>
      <c r="H273" s="19">
        <v>200</v>
      </c>
      <c r="I273" s="20" t="s">
        <v>2461</v>
      </c>
      <c r="J273" s="16" t="s">
        <v>2462</v>
      </c>
      <c r="K273" s="26" t="s">
        <v>2463</v>
      </c>
      <c r="L273" s="20"/>
      <c r="M273" s="16" t="s">
        <v>2464</v>
      </c>
      <c r="N273" s="20"/>
      <c r="O273" s="16" t="s">
        <v>2465</v>
      </c>
      <c r="P273" s="20"/>
      <c r="Q273" s="20"/>
      <c r="R273" s="20" t="s">
        <v>2466</v>
      </c>
      <c r="S273" s="19">
        <v>48.843273099999998</v>
      </c>
      <c r="T273" s="19">
        <v>17.125133600000002</v>
      </c>
      <c r="U273" s="20"/>
      <c r="V273" s="20"/>
      <c r="W273" s="20"/>
      <c r="X273" s="20"/>
      <c r="Y273" s="20"/>
      <c r="Z273" s="20"/>
      <c r="AA273" s="20"/>
      <c r="AB273" s="20"/>
      <c r="AC273" s="20"/>
      <c r="AD273" s="20"/>
      <c r="AE273" s="20"/>
      <c r="AF273" t="str">
        <f t="shared" si="0"/>
        <v/>
      </c>
      <c r="AG273" s="20"/>
      <c r="AH273" s="20"/>
      <c r="AI273" s="20"/>
      <c r="AJ273" s="20"/>
      <c r="AK273" s="20"/>
    </row>
    <row r="274" spans="1:37">
      <c r="A274" s="6">
        <v>250</v>
      </c>
      <c r="B274" s="6" t="s">
        <v>2467</v>
      </c>
      <c r="C274" s="6" t="s">
        <v>2468</v>
      </c>
      <c r="D274" s="6" t="s">
        <v>2467</v>
      </c>
      <c r="E274" s="12" t="s">
        <v>2469</v>
      </c>
      <c r="F274" s="6" t="s">
        <v>38</v>
      </c>
      <c r="G274" s="11">
        <v>2014</v>
      </c>
      <c r="H274" s="6"/>
      <c r="I274" s="6"/>
      <c r="J274" s="6"/>
      <c r="K274" s="6" t="s">
        <v>2470</v>
      </c>
      <c r="L274" s="6"/>
      <c r="M274" s="6" t="s">
        <v>2471</v>
      </c>
      <c r="N274" s="6"/>
      <c r="O274" s="6" t="s">
        <v>2472</v>
      </c>
      <c r="P274" s="6" t="s">
        <v>2473</v>
      </c>
      <c r="Q274" s="6"/>
      <c r="R274" s="6" t="s">
        <v>2475</v>
      </c>
      <c r="S274" s="6">
        <v>50.439638000000002</v>
      </c>
      <c r="T274" s="6">
        <v>14.084906</v>
      </c>
      <c r="U274" s="6"/>
      <c r="V274" s="6"/>
      <c r="W274" s="6"/>
      <c r="X274" s="6"/>
      <c r="Y274" s="6"/>
      <c r="Z274" s="6"/>
      <c r="AA274" s="6"/>
      <c r="AB274" s="6"/>
      <c r="AD274" s="6"/>
      <c r="AE274" s="16"/>
      <c r="AF274" t="str">
        <f t="shared" si="0"/>
        <v/>
      </c>
    </row>
    <row r="275" spans="1:37">
      <c r="A275" s="6">
        <v>251</v>
      </c>
      <c r="B275" s="6" t="s">
        <v>2476</v>
      </c>
      <c r="C275" s="6" t="s">
        <v>2477</v>
      </c>
      <c r="D275" s="6" t="s">
        <v>2478</v>
      </c>
      <c r="E275" s="12" t="s">
        <v>2479</v>
      </c>
      <c r="F275" s="6" t="s">
        <v>73</v>
      </c>
      <c r="G275" s="11">
        <v>2014</v>
      </c>
      <c r="H275" s="6"/>
      <c r="I275" s="13" t="str">
        <f>HYPERLINK("http://www.bezdekovsky-pivovar.cz","http://www.bezdekovsky-pivovar.cz")</f>
        <v>http://www.bezdekovsky-pivovar.cz</v>
      </c>
      <c r="J275" s="13" t="str">
        <f>HYPERLINK("https://www.facebook.com/Bezděkovský-pivovar-1462227794070114","https://www.facebook.com/Bezděkovský-pivovar-1462227794070114")</f>
        <v>https://www.facebook.com/Bezděkovský-pivovar-1462227794070114</v>
      </c>
      <c r="K275" s="6" t="s">
        <v>2481</v>
      </c>
      <c r="L275" s="6"/>
      <c r="M275" s="6" t="s">
        <v>2482</v>
      </c>
      <c r="N275" s="6"/>
      <c r="O275" s="6" t="s">
        <v>2483</v>
      </c>
      <c r="P275" s="6"/>
      <c r="Q275" s="6"/>
      <c r="R275" s="12" t="s">
        <v>2484</v>
      </c>
      <c r="S275" s="12">
        <v>49.382140300000003</v>
      </c>
      <c r="T275" s="12">
        <v>13.224807200000001</v>
      </c>
      <c r="U275" s="6"/>
      <c r="V275" s="6"/>
      <c r="W275" s="6"/>
      <c r="X275" s="6"/>
      <c r="Y275" s="6"/>
      <c r="Z275" s="6" t="s">
        <v>47</v>
      </c>
      <c r="AA275" s="6"/>
      <c r="AB275" s="6"/>
      <c r="AD275" s="6"/>
      <c r="AE275" s="17" t="s">
        <v>47</v>
      </c>
      <c r="AF275" t="str">
        <f t="shared" si="0"/>
        <v>ANO</v>
      </c>
    </row>
    <row r="276" spans="1:37">
      <c r="A276" s="6">
        <v>252</v>
      </c>
      <c r="B276" s="6" t="s">
        <v>2486</v>
      </c>
      <c r="C276" s="6" t="s">
        <v>2487</v>
      </c>
      <c r="D276" s="6" t="s">
        <v>820</v>
      </c>
      <c r="E276" s="12" t="s">
        <v>2488</v>
      </c>
      <c r="F276" s="6" t="s">
        <v>73</v>
      </c>
      <c r="G276" s="11">
        <v>2014</v>
      </c>
      <c r="H276" s="6">
        <v>700</v>
      </c>
      <c r="I276" s="13" t="str">
        <f>HYPERLINK("http://www.kyjovsky-pivovar.cz","http://www.kyjovsky-pivovar.cz")</f>
        <v>http://www.kyjovsky-pivovar.cz</v>
      </c>
      <c r="J276" s="13" t="str">
        <f>HYPERLINK("https://www.facebook.com/kyjovsky.pivovar","https://www.facebook.com/kyjovsky.pivovar")</f>
        <v>https://www.facebook.com/kyjovsky.pivovar</v>
      </c>
      <c r="K276" s="6" t="s">
        <v>2489</v>
      </c>
      <c r="L276" s="6"/>
      <c r="M276" s="6"/>
      <c r="N276" s="6"/>
      <c r="O276" s="6" t="s">
        <v>2490</v>
      </c>
      <c r="P276" s="6" t="s">
        <v>2491</v>
      </c>
      <c r="Q276" s="15" t="s">
        <v>2492</v>
      </c>
      <c r="R276" s="6" t="s">
        <v>2493</v>
      </c>
      <c r="S276" s="6">
        <v>49.015523000000002</v>
      </c>
      <c r="T276" s="6">
        <v>17.125454000000001</v>
      </c>
      <c r="U276" s="6"/>
      <c r="V276" s="6"/>
      <c r="W276" s="6"/>
      <c r="X276" s="6"/>
      <c r="Y276" s="6"/>
      <c r="Z276" s="6"/>
      <c r="AA276" s="6"/>
      <c r="AB276" s="6" t="s">
        <v>47</v>
      </c>
      <c r="AD276" s="6" t="s">
        <v>47</v>
      </c>
      <c r="AE276" s="17" t="s">
        <v>47</v>
      </c>
      <c r="AF276" t="str">
        <f t="shared" si="0"/>
        <v>ANO</v>
      </c>
    </row>
    <row r="277" spans="1:37">
      <c r="A277" s="6">
        <v>253</v>
      </c>
      <c r="B277" s="6" t="s">
        <v>2494</v>
      </c>
      <c r="C277" s="6" t="s">
        <v>2495</v>
      </c>
      <c r="D277" s="6" t="s">
        <v>757</v>
      </c>
      <c r="E277" s="12" t="s">
        <v>2496</v>
      </c>
      <c r="F277" s="6" t="s">
        <v>57</v>
      </c>
      <c r="G277" s="11">
        <v>2014</v>
      </c>
      <c r="H277" s="6"/>
      <c r="I277" s="13" t="str">
        <f>HYPERLINK("http://www.minipivovarlisydedek.cz","http://www.minipivovarlisydedek.cz")</f>
        <v>http://www.minipivovarlisydedek.cz</v>
      </c>
      <c r="J277" s="6"/>
      <c r="K277" s="6" t="s">
        <v>2497</v>
      </c>
      <c r="L277" s="6"/>
      <c r="M277" s="6" t="s">
        <v>2498</v>
      </c>
      <c r="N277" s="6"/>
      <c r="O277" s="6" t="s">
        <v>2494</v>
      </c>
      <c r="P277" s="6"/>
      <c r="Q277" s="15" t="s">
        <v>2499</v>
      </c>
      <c r="R277" s="6" t="s">
        <v>2500</v>
      </c>
      <c r="S277" s="6">
        <v>50.107264000000001</v>
      </c>
      <c r="T277" s="6">
        <v>14.855626000000001</v>
      </c>
      <c r="U277" s="6"/>
      <c r="V277" s="6"/>
      <c r="W277" s="6"/>
      <c r="X277" s="6"/>
      <c r="Y277" s="6"/>
      <c r="Z277" s="6"/>
      <c r="AA277" s="6"/>
      <c r="AB277" s="6"/>
      <c r="AD277" s="6"/>
      <c r="AE277" s="16"/>
      <c r="AF277" t="str">
        <f t="shared" si="0"/>
        <v/>
      </c>
    </row>
    <row r="278" spans="1:37">
      <c r="A278" s="6">
        <v>254</v>
      </c>
      <c r="B278" s="6" t="s">
        <v>2501</v>
      </c>
      <c r="C278" s="6" t="s">
        <v>2502</v>
      </c>
      <c r="D278" s="6" t="s">
        <v>1360</v>
      </c>
      <c r="E278" s="12" t="s">
        <v>2503</v>
      </c>
      <c r="F278" s="6" t="s">
        <v>57</v>
      </c>
      <c r="G278" s="11">
        <v>2014</v>
      </c>
      <c r="H278" s="6"/>
      <c r="I278" s="13" t="str">
        <f>HYPERLINK("http://pivo-klenot.cz","http://pivo-klenot.cz")</f>
        <v>http://pivo-klenot.cz</v>
      </c>
      <c r="J278" s="6"/>
      <c r="K278" s="6" t="s">
        <v>2504</v>
      </c>
      <c r="L278" s="6"/>
      <c r="M278" s="6" t="s">
        <v>2505</v>
      </c>
      <c r="N278" s="6"/>
      <c r="O278" s="6" t="s">
        <v>2501</v>
      </c>
      <c r="P278" s="6"/>
      <c r="Q278" s="15" t="s">
        <v>2506</v>
      </c>
      <c r="R278" s="6" t="s">
        <v>2507</v>
      </c>
      <c r="S278" s="6">
        <v>49.8569283</v>
      </c>
      <c r="T278" s="6">
        <v>13.612653099999999</v>
      </c>
      <c r="U278" s="6"/>
      <c r="V278" s="6"/>
      <c r="W278" s="6"/>
      <c r="X278" s="6"/>
      <c r="Y278" s="6"/>
      <c r="Z278" s="6"/>
      <c r="AA278" s="6"/>
      <c r="AB278" s="6"/>
      <c r="AD278" s="6"/>
      <c r="AE278" s="16"/>
      <c r="AF278" t="str">
        <f t="shared" si="0"/>
        <v/>
      </c>
    </row>
    <row r="279" spans="1:37">
      <c r="A279" s="6">
        <v>255</v>
      </c>
      <c r="B279" s="6" t="s">
        <v>2508</v>
      </c>
      <c r="C279" s="6" t="s">
        <v>2509</v>
      </c>
      <c r="D279" s="6" t="s">
        <v>2510</v>
      </c>
      <c r="E279" s="12" t="s">
        <v>2511</v>
      </c>
      <c r="F279" s="6" t="s">
        <v>57</v>
      </c>
      <c r="G279" s="11">
        <v>2014</v>
      </c>
      <c r="H279" s="6"/>
      <c r="I279" s="13" t="str">
        <f>HYPERLINK("http://www.pidipivovarek.cz","http://www.pidipivovarek.cz")</f>
        <v>http://www.pidipivovarek.cz</v>
      </c>
      <c r="J279" s="13" t="str">
        <f>HYPERLINK("https://www.facebook.com/www.pidipivovarek.cz","https://www.facebook.com/www.pidipivovarek.cz")</f>
        <v>https://www.facebook.com/www.pidipivovarek.cz</v>
      </c>
      <c r="K279" s="6" t="s">
        <v>2512</v>
      </c>
      <c r="L279" s="6"/>
      <c r="M279" s="6" t="s">
        <v>2513</v>
      </c>
      <c r="N279" s="6"/>
      <c r="O279" s="6" t="s">
        <v>2514</v>
      </c>
      <c r="P279" s="6"/>
      <c r="Q279" s="6"/>
      <c r="R279" s="6" t="s">
        <v>2515</v>
      </c>
      <c r="S279" s="6">
        <v>49.172908</v>
      </c>
      <c r="T279" s="6">
        <v>13.6374549999999</v>
      </c>
      <c r="U279" s="6"/>
      <c r="V279" s="6"/>
      <c r="W279" s="6"/>
      <c r="X279" s="6"/>
      <c r="Y279" s="6"/>
      <c r="Z279" s="6"/>
      <c r="AA279" s="6"/>
      <c r="AB279" s="6"/>
      <c r="AD279" s="6"/>
      <c r="AE279" s="16"/>
      <c r="AF279" t="str">
        <f t="shared" si="0"/>
        <v/>
      </c>
    </row>
    <row r="280" spans="1:37">
      <c r="A280" s="6">
        <v>256</v>
      </c>
      <c r="B280" s="6" t="s">
        <v>2516</v>
      </c>
      <c r="C280" s="6" t="s">
        <v>2517</v>
      </c>
      <c r="D280" s="6" t="s">
        <v>2518</v>
      </c>
      <c r="E280" s="12" t="s">
        <v>2519</v>
      </c>
      <c r="F280" s="6" t="s">
        <v>73</v>
      </c>
      <c r="G280" s="11">
        <v>2014</v>
      </c>
      <c r="H280" s="6"/>
      <c r="I280" s="13" t="str">
        <f>HYPERLINK("http://karlovskyminipivovar.cz","http://karlovskyminipivovar.cz")</f>
        <v>http://karlovskyminipivovar.cz</v>
      </c>
      <c r="J280" s="13" t="str">
        <f>HYPERLINK("https://www.facebook.com/Penzion-Pod-Pralesem-114508615411415","https://www.facebook.com/Penzion-Pod-Pralesem-114508615411415")</f>
        <v>https://www.facebook.com/Penzion-Pod-Pralesem-114508615411415</v>
      </c>
      <c r="K280" s="6" t="s">
        <v>2520</v>
      </c>
      <c r="L280" s="6"/>
      <c r="M280" s="6" t="s">
        <v>2521</v>
      </c>
      <c r="N280" s="6"/>
      <c r="O280" s="6" t="s">
        <v>2522</v>
      </c>
      <c r="P280" s="6"/>
      <c r="Q280" s="15" t="s">
        <v>2523</v>
      </c>
      <c r="R280" s="6" t="s">
        <v>2524</v>
      </c>
      <c r="S280" s="6">
        <v>49.370227999999898</v>
      </c>
      <c r="T280" s="6">
        <v>18.357278000000001</v>
      </c>
      <c r="U280" s="6"/>
      <c r="V280" s="6"/>
      <c r="W280" s="6"/>
      <c r="X280" s="6"/>
      <c r="Y280" s="6"/>
      <c r="Z280" s="6"/>
      <c r="AA280" s="6"/>
      <c r="AB280" s="6"/>
      <c r="AD280" s="6"/>
      <c r="AE280" s="17" t="s">
        <v>47</v>
      </c>
      <c r="AF280" t="str">
        <f t="shared" si="0"/>
        <v>ANO</v>
      </c>
    </row>
    <row r="281" spans="1:37">
      <c r="A281" s="6">
        <v>257</v>
      </c>
      <c r="B281" s="6" t="s">
        <v>2525</v>
      </c>
      <c r="C281" s="6" t="s">
        <v>2526</v>
      </c>
      <c r="D281" s="6" t="s">
        <v>2527</v>
      </c>
      <c r="E281" s="12" t="s">
        <v>2528</v>
      </c>
      <c r="F281" s="6" t="s">
        <v>73</v>
      </c>
      <c r="G281" s="11">
        <v>2014</v>
      </c>
      <c r="H281" s="6">
        <v>1200</v>
      </c>
      <c r="I281" s="13" t="str">
        <f>HYPERLINK("http://www.pivovarnadkolcavkou.cz","http://www.pivovarnadkolcavkou.cz")</f>
        <v>http://www.pivovarnadkolcavkou.cz</v>
      </c>
      <c r="J281" s="13" t="str">
        <f>HYPERLINK("https://www.facebook.com/Pivovar-Kolčavka-872990149385885","https://www.facebook.com/Pivovar-Kolčavka-872990149385885")</f>
        <v>https://www.facebook.com/Pivovar-Kolčavka-872990149385885</v>
      </c>
      <c r="K281" s="6" t="s">
        <v>2530</v>
      </c>
      <c r="L281" s="6"/>
      <c r="M281" s="6" t="s">
        <v>2531</v>
      </c>
      <c r="N281" s="6"/>
      <c r="O281" s="6" t="s">
        <v>2532</v>
      </c>
      <c r="P281" s="6"/>
      <c r="Q281" s="6"/>
      <c r="R281" s="6" t="s">
        <v>2533</v>
      </c>
      <c r="S281" s="6">
        <v>50.108280999999899</v>
      </c>
      <c r="T281" s="6">
        <v>14.482452</v>
      </c>
      <c r="U281" s="6"/>
      <c r="V281" s="6"/>
      <c r="W281" s="6"/>
      <c r="X281" s="6"/>
      <c r="Y281" s="6"/>
      <c r="Z281" s="6"/>
      <c r="AA281" s="6"/>
      <c r="AB281" s="6"/>
      <c r="AD281" s="6"/>
      <c r="AE281" s="17" t="s">
        <v>47</v>
      </c>
      <c r="AF281" t="str">
        <f t="shared" si="0"/>
        <v>ANO</v>
      </c>
    </row>
    <row r="282" spans="1:37">
      <c r="A282" s="6">
        <v>258</v>
      </c>
      <c r="B282" s="6" t="s">
        <v>2534</v>
      </c>
      <c r="C282" s="6" t="s">
        <v>2535</v>
      </c>
      <c r="D282" s="6" t="s">
        <v>2536</v>
      </c>
      <c r="E282" s="12" t="s">
        <v>2537</v>
      </c>
      <c r="F282" s="6" t="s">
        <v>73</v>
      </c>
      <c r="G282" s="11">
        <v>2014</v>
      </c>
      <c r="H282" s="6"/>
      <c r="I282" s="13" t="str">
        <f>HYPERLINK("http://www.lindr-pivovar.cz","http://www.lindr-pivovar.cz")</f>
        <v>http://www.lindr-pivovar.cz</v>
      </c>
      <c r="J282" s="13" t="str">
        <f>HYPERLINK("https://www.facebook.com/Pivovar-LINDR-M%C5%BDANY-459614357473157","https://www.facebook.com/Pivovar-LINDR-M%C5%BDANY-459614357473157")</f>
        <v>https://www.facebook.com/Pivovar-LINDR-M%C5%BDANY-459614357473157</v>
      </c>
      <c r="K282" s="6" t="s">
        <v>2538</v>
      </c>
      <c r="L282" s="6"/>
      <c r="M282" s="6" t="s">
        <v>2539</v>
      </c>
      <c r="N282" s="6"/>
      <c r="O282" s="6" t="s">
        <v>2540</v>
      </c>
      <c r="P282" s="6"/>
      <c r="Q282" s="15" t="s">
        <v>2541</v>
      </c>
      <c r="R282" s="6" t="s">
        <v>2542</v>
      </c>
      <c r="S282" s="6">
        <v>50.296027000000002</v>
      </c>
      <c r="T282" s="6">
        <v>15.676076</v>
      </c>
      <c r="U282" s="6"/>
      <c r="V282" s="6"/>
      <c r="W282" s="6"/>
      <c r="X282" s="6"/>
      <c r="Y282" s="6"/>
      <c r="Z282" s="6"/>
      <c r="AA282" s="6" t="s">
        <v>47</v>
      </c>
      <c r="AB282" s="6" t="s">
        <v>47</v>
      </c>
      <c r="AD282" s="6"/>
      <c r="AE282" s="16"/>
      <c r="AF282" t="str">
        <f t="shared" si="0"/>
        <v>ANO</v>
      </c>
    </row>
    <row r="283" spans="1:37">
      <c r="A283" s="6">
        <v>259</v>
      </c>
      <c r="B283" s="6" t="s">
        <v>2543</v>
      </c>
      <c r="C283" s="6" t="s">
        <v>2544</v>
      </c>
      <c r="D283" s="6" t="s">
        <v>1018</v>
      </c>
      <c r="E283" s="12" t="s">
        <v>2545</v>
      </c>
      <c r="F283" s="6" t="s">
        <v>57</v>
      </c>
      <c r="G283" s="11">
        <v>2014</v>
      </c>
      <c r="H283" s="6">
        <v>2500</v>
      </c>
      <c r="I283" s="13" t="str">
        <f>HYPERLINK("http://www.hauskrecht.cz","http://www.hauskrecht.cz")</f>
        <v>http://www.hauskrecht.cz</v>
      </c>
      <c r="J283" s="13" t="str">
        <f>HYPERLINK("https://www.facebook.com/Petr-Hauskrecht-Parní-pivovar-366456056847880","https://www.facebook.com/Petr-Hauskrecht-Parní-pivovar-366456056847880")</f>
        <v>https://www.facebook.com/Petr-Hauskrecht-Parní-pivovar-366456056847880</v>
      </c>
      <c r="K283" s="6" t="s">
        <v>2546</v>
      </c>
      <c r="L283" s="6"/>
      <c r="M283" s="6" t="s">
        <v>2547</v>
      </c>
      <c r="N283" s="6"/>
      <c r="O283" s="6" t="s">
        <v>2548</v>
      </c>
      <c r="P283" s="6"/>
      <c r="Q283" s="6"/>
      <c r="R283" s="6" t="s">
        <v>2549</v>
      </c>
      <c r="S283" s="6">
        <v>49.187576999999898</v>
      </c>
      <c r="T283" s="6">
        <v>16.6282789999999</v>
      </c>
      <c r="U283" s="6"/>
      <c r="V283" s="6"/>
      <c r="W283" s="6"/>
      <c r="X283" s="6"/>
      <c r="Y283" s="6"/>
      <c r="Z283" s="6"/>
      <c r="AA283" s="6"/>
      <c r="AB283" s="6"/>
      <c r="AD283" s="6"/>
      <c r="AE283" s="16"/>
      <c r="AF283" t="str">
        <f t="shared" si="0"/>
        <v/>
      </c>
    </row>
    <row r="284" spans="1:37">
      <c r="A284" s="6">
        <v>260</v>
      </c>
      <c r="B284" s="6" t="s">
        <v>101</v>
      </c>
      <c r="C284" s="6" t="s">
        <v>2551</v>
      </c>
      <c r="D284" s="6" t="s">
        <v>101</v>
      </c>
      <c r="E284" s="12" t="s">
        <v>102</v>
      </c>
      <c r="F284" s="6" t="s">
        <v>57</v>
      </c>
      <c r="G284" s="11">
        <v>2014</v>
      </c>
      <c r="H284" s="6">
        <v>10000</v>
      </c>
      <c r="I284" s="13" t="str">
        <f>HYPERLINK("http://pivovarcvikov.cz","http://pivovarcvikov.cz")</f>
        <v>http://pivovarcvikov.cz</v>
      </c>
      <c r="J284" s="13" t="str">
        <f>HYPERLINK("https://www.facebook.com/pivovarcvikov","https://www.facebook.com/pivovarcvikov")</f>
        <v>https://www.facebook.com/pivovarcvikov</v>
      </c>
      <c r="K284" s="6" t="s">
        <v>106</v>
      </c>
      <c r="L284" s="6"/>
      <c r="M284" s="6"/>
      <c r="N284" s="6"/>
      <c r="O284" s="6" t="s">
        <v>2552</v>
      </c>
      <c r="P284" s="6" t="s">
        <v>100</v>
      </c>
      <c r="Q284" s="15" t="s">
        <v>2553</v>
      </c>
      <c r="R284" s="6" t="s">
        <v>2554</v>
      </c>
      <c r="S284" s="6">
        <v>50.777055300000001</v>
      </c>
      <c r="T284" s="6">
        <v>14.642705599999999</v>
      </c>
      <c r="U284" s="6"/>
      <c r="V284" s="6"/>
      <c r="W284" s="6"/>
      <c r="X284" s="6"/>
      <c r="Y284" s="6"/>
      <c r="Z284" s="6"/>
      <c r="AA284" s="6"/>
      <c r="AB284" s="6" t="s">
        <v>47</v>
      </c>
      <c r="AD284" s="6" t="s">
        <v>47</v>
      </c>
      <c r="AE284" s="17" t="s">
        <v>47</v>
      </c>
      <c r="AF284" t="str">
        <f t="shared" si="0"/>
        <v>ANO</v>
      </c>
    </row>
    <row r="285" spans="1:37">
      <c r="A285" s="6">
        <v>261</v>
      </c>
      <c r="B285" s="6" t="s">
        <v>2556</v>
      </c>
      <c r="C285" s="6" t="s">
        <v>2557</v>
      </c>
      <c r="D285" s="6" t="s">
        <v>2558</v>
      </c>
      <c r="E285" s="12" t="s">
        <v>2559</v>
      </c>
      <c r="F285" s="12" t="s">
        <v>848</v>
      </c>
      <c r="G285" s="11">
        <v>2014</v>
      </c>
      <c r="H285" s="6"/>
      <c r="I285" s="13" t="str">
        <f>HYPERLINK("http://chebbier.vn","http://chebbier.vn")</f>
        <v>http://chebbier.vn</v>
      </c>
      <c r="J285" s="31" t="s">
        <v>2560</v>
      </c>
      <c r="K285" s="6" t="s">
        <v>2561</v>
      </c>
      <c r="L285" s="6"/>
      <c r="M285" s="6" t="s">
        <v>2562</v>
      </c>
      <c r="N285" s="6"/>
      <c r="O285" s="6" t="s">
        <v>2563</v>
      </c>
      <c r="P285" s="6" t="s">
        <v>2563</v>
      </c>
      <c r="Q285" s="6"/>
      <c r="R285" s="6" t="s">
        <v>2564</v>
      </c>
      <c r="S285" s="6">
        <v>50.081950999999897</v>
      </c>
      <c r="T285" s="6">
        <v>12.374865</v>
      </c>
      <c r="U285" s="6"/>
      <c r="V285" s="6"/>
      <c r="W285" s="6"/>
      <c r="X285" s="6"/>
      <c r="Y285" s="6"/>
      <c r="Z285" s="6" t="s">
        <v>47</v>
      </c>
      <c r="AA285" s="6"/>
      <c r="AB285" s="6"/>
      <c r="AD285" s="6"/>
      <c r="AE285" s="17" t="s">
        <v>47</v>
      </c>
      <c r="AF285" t="str">
        <f t="shared" si="0"/>
        <v>ANO</v>
      </c>
    </row>
    <row r="286" spans="1:37">
      <c r="A286" s="6">
        <v>262</v>
      </c>
      <c r="B286" s="6" t="s">
        <v>2565</v>
      </c>
      <c r="C286" s="6" t="s">
        <v>2566</v>
      </c>
      <c r="D286" s="6" t="s">
        <v>2567</v>
      </c>
      <c r="E286" s="12" t="s">
        <v>2568</v>
      </c>
      <c r="F286" s="6" t="s">
        <v>38</v>
      </c>
      <c r="G286" s="11">
        <v>2014</v>
      </c>
      <c r="H286" s="6">
        <v>420</v>
      </c>
      <c r="I286" s="13" t="str">
        <f>HYPERLINK("http://pivovarkosir.cz","http://pivovarkosir.cz")</f>
        <v>http://pivovarkosir.cz</v>
      </c>
      <c r="J286" s="13" t="str">
        <f>HYPERLINK("https://www.facebook.com/pivovarkosir","https://www.facebook.com/pivovarkosir")</f>
        <v>https://www.facebook.com/pivovarkosir</v>
      </c>
      <c r="K286" s="6" t="s">
        <v>2569</v>
      </c>
      <c r="L286" s="6"/>
      <c r="M286" s="6" t="s">
        <v>2570</v>
      </c>
      <c r="N286" s="6"/>
      <c r="O286" s="6" t="s">
        <v>2571</v>
      </c>
      <c r="P286" s="6"/>
      <c r="Q286" s="6"/>
      <c r="R286" s="6" t="s">
        <v>2572</v>
      </c>
      <c r="S286" s="6">
        <v>49.565182</v>
      </c>
      <c r="T286" s="6">
        <v>17.048691000000002</v>
      </c>
      <c r="U286" s="6"/>
      <c r="V286" s="6"/>
      <c r="W286" s="6"/>
      <c r="X286" s="6"/>
      <c r="Y286" s="6"/>
      <c r="Z286" s="6" t="s">
        <v>47</v>
      </c>
      <c r="AA286" s="6"/>
      <c r="AB286" s="6"/>
      <c r="AD286" s="6"/>
      <c r="AE286" s="16"/>
      <c r="AF286" t="str">
        <f t="shared" si="0"/>
        <v>ANO</v>
      </c>
    </row>
    <row r="287" spans="1:37">
      <c r="A287" s="6">
        <v>263</v>
      </c>
      <c r="B287" s="6" t="s">
        <v>2573</v>
      </c>
      <c r="C287" s="6" t="s">
        <v>2574</v>
      </c>
      <c r="D287" s="6" t="s">
        <v>2148</v>
      </c>
      <c r="E287" s="12" t="s">
        <v>2575</v>
      </c>
      <c r="F287" s="6" t="s">
        <v>73</v>
      </c>
      <c r="G287" s="11">
        <v>2014</v>
      </c>
      <c r="H287" s="6"/>
      <c r="I287" s="13" t="str">
        <f>HYPERLINK("http://www.pivovarusvelchu.cz","http://www.pivovarusvelchu.cz")</f>
        <v>http://www.pivovarusvelchu.cz</v>
      </c>
      <c r="J287" s="13" t="str">
        <f>HYPERLINK("https://www.facebook.com/pivovarusvelchu","https://www.facebook.com/pivovarusvelchu")</f>
        <v>https://www.facebook.com/pivovarusvelchu</v>
      </c>
      <c r="K287" s="6" t="s">
        <v>2576</v>
      </c>
      <c r="L287" s="6"/>
      <c r="M287" s="6"/>
      <c r="N287" s="6"/>
      <c r="O287" s="6" t="s">
        <v>2577</v>
      </c>
      <c r="P287" s="6"/>
      <c r="Q287" s="6"/>
      <c r="R287" s="6" t="s">
        <v>2578</v>
      </c>
      <c r="S287" s="6">
        <v>49.229101999999898</v>
      </c>
      <c r="T287" s="6">
        <v>13.5242419999999</v>
      </c>
      <c r="U287" s="6"/>
      <c r="V287" s="6"/>
      <c r="W287" s="6"/>
      <c r="X287" s="6"/>
      <c r="Y287" s="6"/>
      <c r="Z287" s="6" t="s">
        <v>47</v>
      </c>
      <c r="AA287" s="6"/>
      <c r="AB287" s="6"/>
      <c r="AD287" s="6"/>
      <c r="AE287" s="16"/>
      <c r="AF287" t="str">
        <f t="shared" si="0"/>
        <v>ANO</v>
      </c>
    </row>
    <row r="288" spans="1:37">
      <c r="A288" s="6">
        <v>264</v>
      </c>
      <c r="B288" s="6" t="s">
        <v>125</v>
      </c>
      <c r="C288" s="6" t="s">
        <v>2579</v>
      </c>
      <c r="D288" s="6" t="s">
        <v>132</v>
      </c>
      <c r="E288" s="12" t="s">
        <v>2580</v>
      </c>
      <c r="F288" s="6" t="s">
        <v>57</v>
      </c>
      <c r="G288" s="11">
        <v>2014</v>
      </c>
      <c r="H288" s="6">
        <v>1000</v>
      </c>
      <c r="I288" s="13" t="str">
        <f>HYPERLINK("http://www.albrechtickypivovar.cz","http://www.albrechtickypivovar.cz")</f>
        <v>http://www.albrechtickypivovar.cz</v>
      </c>
      <c r="J288" s="13" t="str">
        <f>HYPERLINK("https://www.facebook.com/albrechtickypivovar","https://www.facebook.com/albrechtickypivovar")</f>
        <v>https://www.facebook.com/albrechtickypivovar</v>
      </c>
      <c r="K288" s="6" t="s">
        <v>130</v>
      </c>
      <c r="L288" s="6"/>
      <c r="M288" s="6" t="s">
        <v>2581</v>
      </c>
      <c r="N288" s="6" t="s">
        <v>2582</v>
      </c>
      <c r="O288" s="6" t="s">
        <v>2583</v>
      </c>
      <c r="P288" s="6"/>
      <c r="Q288" s="6"/>
      <c r="R288" s="6" t="s">
        <v>2584</v>
      </c>
      <c r="S288" s="6">
        <v>49.788537499999997</v>
      </c>
      <c r="T288" s="6">
        <v>18.538271099999999</v>
      </c>
      <c r="U288" s="6"/>
      <c r="V288" s="6"/>
      <c r="W288" s="6"/>
      <c r="X288" s="6"/>
      <c r="Y288" s="6"/>
      <c r="Z288" s="6"/>
      <c r="AA288" s="6"/>
      <c r="AB288" s="6"/>
      <c r="AD288" s="6"/>
      <c r="AE288" s="16"/>
      <c r="AF288" t="str">
        <f t="shared" si="0"/>
        <v/>
      </c>
    </row>
    <row r="289" spans="1:32">
      <c r="A289" s="6">
        <v>265</v>
      </c>
      <c r="B289" s="6" t="s">
        <v>2585</v>
      </c>
      <c r="C289" s="6" t="s">
        <v>2586</v>
      </c>
      <c r="D289" s="6" t="s">
        <v>256</v>
      </c>
      <c r="E289" s="12" t="s">
        <v>2587</v>
      </c>
      <c r="F289" s="6" t="s">
        <v>38</v>
      </c>
      <c r="G289" s="11">
        <v>2014</v>
      </c>
      <c r="H289" s="6">
        <v>1000</v>
      </c>
      <c r="I289" s="13" t="str">
        <f>HYPERLINK("http://www.frankies.cz","http://www.frankies.cz")</f>
        <v>http://www.frankies.cz</v>
      </c>
      <c r="J289" s="13" t="str">
        <f>HYPERLINK("https://www.facebook.com/pivovar.frankies","https://www.facebook.com/pivovar.frankies")</f>
        <v>https://www.facebook.com/pivovar.frankies</v>
      </c>
      <c r="K289" s="6" t="s">
        <v>2588</v>
      </c>
      <c r="L289" s="6"/>
      <c r="M289" s="6"/>
      <c r="N289" s="6"/>
      <c r="O289" s="6" t="s">
        <v>2589</v>
      </c>
      <c r="P289" s="6"/>
      <c r="Q289" s="6"/>
      <c r="R289" s="6" t="s">
        <v>2590</v>
      </c>
      <c r="S289" s="6">
        <v>48.757196</v>
      </c>
      <c r="T289" s="6">
        <v>16.886458999999899</v>
      </c>
      <c r="U289" s="6"/>
      <c r="V289" s="6"/>
      <c r="W289" s="6"/>
      <c r="X289" s="6"/>
      <c r="Y289" s="6"/>
      <c r="Z289" s="6"/>
      <c r="AA289" s="6"/>
      <c r="AB289" s="6"/>
      <c r="AD289" s="6"/>
      <c r="AE289" s="16"/>
      <c r="AF289" t="str">
        <f t="shared" si="0"/>
        <v/>
      </c>
    </row>
    <row r="290" spans="1:32">
      <c r="A290" s="6">
        <v>266</v>
      </c>
      <c r="B290" s="6" t="s">
        <v>2591</v>
      </c>
      <c r="C290" s="6" t="s">
        <v>2592</v>
      </c>
      <c r="D290" s="6" t="s">
        <v>2593</v>
      </c>
      <c r="E290" s="12" t="s">
        <v>2594</v>
      </c>
      <c r="F290" s="6" t="s">
        <v>57</v>
      </c>
      <c r="G290" s="11">
        <v>2014</v>
      </c>
      <c r="H290" s="6"/>
      <c r="I290" s="13" t="str">
        <f>HYPERLINK("http://starobelskypivovar.cz","http://starobelskypivovar.cz")</f>
        <v>http://starobelskypivovar.cz</v>
      </c>
      <c r="J290" s="6"/>
      <c r="K290" s="6" t="s">
        <v>2595</v>
      </c>
      <c r="L290" s="6"/>
      <c r="M290" s="6" t="s">
        <v>2596</v>
      </c>
      <c r="N290" s="6"/>
      <c r="O290" s="6" t="s">
        <v>2591</v>
      </c>
      <c r="P290" s="6" t="s">
        <v>2597</v>
      </c>
      <c r="Q290" s="15" t="s">
        <v>2598</v>
      </c>
      <c r="R290" s="6" t="s">
        <v>2599</v>
      </c>
      <c r="S290" s="6">
        <v>49.7621609999999</v>
      </c>
      <c r="T290" s="6">
        <v>18.205081</v>
      </c>
      <c r="U290" s="6"/>
      <c r="V290" s="6"/>
      <c r="W290" s="6"/>
      <c r="X290" s="6"/>
      <c r="Y290" s="6"/>
      <c r="Z290" s="6"/>
      <c r="AA290" s="6"/>
      <c r="AB290" s="6"/>
      <c r="AD290" s="6"/>
      <c r="AE290" s="16"/>
      <c r="AF290" t="str">
        <f t="shared" si="0"/>
        <v/>
      </c>
    </row>
    <row r="291" spans="1:32">
      <c r="A291" s="6">
        <v>267</v>
      </c>
      <c r="B291" s="6" t="s">
        <v>2600</v>
      </c>
      <c r="C291" s="6" t="s">
        <v>2601</v>
      </c>
      <c r="D291" s="6" t="s">
        <v>2602</v>
      </c>
      <c r="E291" s="12" t="s">
        <v>2603</v>
      </c>
      <c r="F291" s="6" t="s">
        <v>73</v>
      </c>
      <c r="G291" s="11">
        <v>2014</v>
      </c>
      <c r="H291" s="6"/>
      <c r="I291" s="13" t="str">
        <f>HYPERLINK("http://www.vinohradskypivovar.cz","http://www.vinohradskypivovar.cz")</f>
        <v>http://www.vinohradskypivovar.cz</v>
      </c>
      <c r="J291" s="13" t="str">
        <f>HYPERLINK("https://www.facebook.com/vinohradskypivovar","https://www.facebook.com/vinohradskypivovar")</f>
        <v>https://www.facebook.com/vinohradskypivovar</v>
      </c>
      <c r="K291" s="6" t="s">
        <v>2604</v>
      </c>
      <c r="L291" s="6"/>
      <c r="M291" s="6" t="s">
        <v>2605</v>
      </c>
      <c r="N291" s="6"/>
      <c r="O291" s="6" t="s">
        <v>2606</v>
      </c>
      <c r="P291" s="6"/>
      <c r="Q291" s="15" t="s">
        <v>2607</v>
      </c>
      <c r="R291" s="6" t="s">
        <v>2608</v>
      </c>
      <c r="S291" s="6">
        <v>50.075297999999897</v>
      </c>
      <c r="T291" s="6">
        <v>14.457608</v>
      </c>
      <c r="U291" s="6"/>
      <c r="V291" s="6"/>
      <c r="W291" s="6"/>
      <c r="X291" s="6"/>
      <c r="Y291" s="6"/>
      <c r="Z291" s="6"/>
      <c r="AA291" s="6" t="s">
        <v>47</v>
      </c>
      <c r="AB291" s="6"/>
      <c r="AD291" s="6"/>
      <c r="AE291" s="17" t="s">
        <v>47</v>
      </c>
      <c r="AF291" t="str">
        <f t="shared" si="0"/>
        <v>ANO</v>
      </c>
    </row>
    <row r="292" spans="1:32">
      <c r="A292" s="6">
        <v>268</v>
      </c>
      <c r="B292" s="6" t="s">
        <v>2609</v>
      </c>
      <c r="C292" s="6" t="s">
        <v>2610</v>
      </c>
      <c r="D292" s="6" t="s">
        <v>2611</v>
      </c>
      <c r="E292" s="12" t="s">
        <v>2612</v>
      </c>
      <c r="F292" s="6" t="s">
        <v>73</v>
      </c>
      <c r="G292" s="11">
        <v>2014</v>
      </c>
      <c r="H292" s="6"/>
      <c r="I292" s="13" t="str">
        <f>HYPERLINK("https://www.pivovarherman.cz","https://www.pivovarherman.cz")</f>
        <v>https://www.pivovarherman.cz</v>
      </c>
      <c r="J292" s="13" t="str">
        <f>HYPERLINK("https://www.facebook.com/pivovarherman","https://www.facebook.com/pivovarherman")</f>
        <v>https://www.facebook.com/pivovarherman</v>
      </c>
      <c r="K292" s="6" t="s">
        <v>2613</v>
      </c>
      <c r="L292" s="6"/>
      <c r="M292" s="6" t="s">
        <v>2614</v>
      </c>
      <c r="N292" s="6"/>
      <c r="O292" s="6" t="s">
        <v>2609</v>
      </c>
      <c r="P292" s="6"/>
      <c r="Q292" s="6"/>
      <c r="R292" s="6" t="s">
        <v>2615</v>
      </c>
      <c r="S292" s="6">
        <v>49.209966000000001</v>
      </c>
      <c r="T292" s="6">
        <v>15.989493</v>
      </c>
      <c r="U292" s="6"/>
      <c r="V292" s="6"/>
      <c r="W292" s="6"/>
      <c r="X292" s="6"/>
      <c r="Y292" s="6"/>
      <c r="Z292" s="6"/>
      <c r="AA292" s="6"/>
      <c r="AB292" s="6"/>
      <c r="AD292" s="6"/>
      <c r="AE292" s="16"/>
      <c r="AF292" t="str">
        <f t="shared" si="0"/>
        <v/>
      </c>
    </row>
    <row r="293" spans="1:32">
      <c r="A293" s="6">
        <v>269</v>
      </c>
      <c r="B293" s="6" t="s">
        <v>2616</v>
      </c>
      <c r="C293" s="6" t="s">
        <v>2617</v>
      </c>
      <c r="D293" s="6" t="s">
        <v>2618</v>
      </c>
      <c r="E293" s="12" t="s">
        <v>2619</v>
      </c>
      <c r="F293" s="6" t="s">
        <v>73</v>
      </c>
      <c r="G293" s="11">
        <v>2014</v>
      </c>
      <c r="H293" s="6">
        <v>1000</v>
      </c>
      <c r="I293" s="13" t="str">
        <f>HYPERLINK("http://www.pivochomout.cz","http://www.pivochomout.cz")</f>
        <v>http://www.pivochomout.cz</v>
      </c>
      <c r="J293" s="13" t="str">
        <f>HYPERLINK("https://www.facebook.com/Pivovar-Chomout-1399790133609098","https://www.facebook.com/Pivovar-Chomout-1399790133609098")</f>
        <v>https://www.facebook.com/Pivovar-Chomout-1399790133609098</v>
      </c>
      <c r="K293" s="6" t="s">
        <v>2620</v>
      </c>
      <c r="L293" s="6"/>
      <c r="M293" s="6" t="s">
        <v>2621</v>
      </c>
      <c r="N293" s="6"/>
      <c r="O293" s="6" t="s">
        <v>2622</v>
      </c>
      <c r="P293" s="6"/>
      <c r="Q293" s="15" t="s">
        <v>2623</v>
      </c>
      <c r="R293" s="6" t="s">
        <v>2624</v>
      </c>
      <c r="S293" s="6">
        <v>49.641886999999898</v>
      </c>
      <c r="T293" s="6">
        <v>17.231089000000001</v>
      </c>
      <c r="U293" s="6"/>
      <c r="V293" s="6"/>
      <c r="W293" s="6"/>
      <c r="X293" s="6"/>
      <c r="Y293" s="6"/>
      <c r="Z293" s="6"/>
      <c r="AA293" s="6"/>
      <c r="AB293" s="6" t="s">
        <v>47</v>
      </c>
      <c r="AD293" s="6" t="s">
        <v>47</v>
      </c>
      <c r="AE293" s="17" t="s">
        <v>47</v>
      </c>
      <c r="AF293" t="str">
        <f t="shared" si="0"/>
        <v>ANO</v>
      </c>
    </row>
    <row r="294" spans="1:32">
      <c r="A294" s="6">
        <v>270</v>
      </c>
      <c r="B294" s="6" t="s">
        <v>2625</v>
      </c>
      <c r="C294" s="6" t="s">
        <v>2626</v>
      </c>
      <c r="D294" s="6" t="s">
        <v>2627</v>
      </c>
      <c r="E294" s="12" t="s">
        <v>2628</v>
      </c>
      <c r="F294" s="6" t="s">
        <v>73</v>
      </c>
      <c r="G294" s="11">
        <v>2014</v>
      </c>
      <c r="H294" s="6"/>
      <c r="I294" s="13" t="str">
        <f>HYPERLINK("http://www.hotel-gurman.cz","http://www.hotel-gurman.cz")</f>
        <v>http://www.hotel-gurman.cz</v>
      </c>
      <c r="J294" s="6"/>
      <c r="K294" s="6" t="s">
        <v>2629</v>
      </c>
      <c r="L294" s="6"/>
      <c r="M294" s="6" t="s">
        <v>1888</v>
      </c>
      <c r="N294" s="6"/>
      <c r="O294" s="6" t="s">
        <v>2630</v>
      </c>
      <c r="P294" s="6"/>
      <c r="Q294" s="6"/>
      <c r="R294" s="6" t="s">
        <v>2631</v>
      </c>
      <c r="S294" s="6">
        <v>49.529935000000002</v>
      </c>
      <c r="T294" s="6">
        <v>12.943161</v>
      </c>
      <c r="U294" s="6"/>
      <c r="V294" s="6"/>
      <c r="W294" s="6"/>
      <c r="X294" s="6"/>
      <c r="Y294" s="6"/>
      <c r="Z294" s="6"/>
      <c r="AA294" s="6"/>
      <c r="AB294" s="6"/>
      <c r="AD294" s="6"/>
      <c r="AE294" s="16"/>
      <c r="AF294" t="str">
        <f t="shared" si="0"/>
        <v/>
      </c>
    </row>
    <row r="295" spans="1:32">
      <c r="A295" s="6">
        <v>271</v>
      </c>
      <c r="B295" s="12" t="s">
        <v>2633</v>
      </c>
      <c r="C295" s="12" t="s">
        <v>2634</v>
      </c>
      <c r="D295" s="6" t="s">
        <v>2635</v>
      </c>
      <c r="E295" s="12" t="s">
        <v>2636</v>
      </c>
      <c r="F295" s="6" t="s">
        <v>73</v>
      </c>
      <c r="G295" s="11">
        <v>2014</v>
      </c>
      <c r="H295" s="6"/>
      <c r="I295" s="13" t="str">
        <f>HYPERLINK("http://www.u-cisarske-cesty.cz","http://www.u-cisarske-cesty.cz")</f>
        <v>http://www.u-cisarske-cesty.cz</v>
      </c>
      <c r="J295" s="13" t="str">
        <f>HYPERLINK("https://www.facebook.com/ucisarskecesty","https://www.facebook.com/ucisarskecesty")</f>
        <v>https://www.facebook.com/ucisarskecesty</v>
      </c>
      <c r="K295" s="6" t="s">
        <v>2637</v>
      </c>
      <c r="L295" s="6"/>
      <c r="M295" s="6"/>
      <c r="N295" s="6"/>
      <c r="O295" s="6" t="s">
        <v>2638</v>
      </c>
      <c r="P295" s="6"/>
      <c r="Q295" s="15" t="s">
        <v>2639</v>
      </c>
      <c r="R295" s="6" t="s">
        <v>2640</v>
      </c>
      <c r="S295" s="6">
        <v>49.492812000000001</v>
      </c>
      <c r="T295" s="6">
        <v>17.131274999999899</v>
      </c>
      <c r="U295" s="6"/>
      <c r="V295" s="6"/>
      <c r="W295" s="6"/>
      <c r="X295" s="6"/>
      <c r="Y295" s="6"/>
      <c r="Z295" s="6"/>
      <c r="AA295" s="6" t="s">
        <v>47</v>
      </c>
      <c r="AB295" s="6"/>
      <c r="AD295" s="6"/>
      <c r="AE295" s="16"/>
      <c r="AF295" t="str">
        <f t="shared" si="0"/>
        <v>ANO</v>
      </c>
    </row>
    <row r="296" spans="1:32">
      <c r="A296" s="6">
        <v>272</v>
      </c>
      <c r="B296" s="6" t="s">
        <v>2641</v>
      </c>
      <c r="C296" s="6" t="s">
        <v>2642</v>
      </c>
      <c r="D296" s="6" t="s">
        <v>2643</v>
      </c>
      <c r="E296" s="12" t="s">
        <v>2644</v>
      </c>
      <c r="F296" s="6" t="s">
        <v>73</v>
      </c>
      <c r="G296" s="11">
        <v>2014</v>
      </c>
      <c r="H296" s="6"/>
      <c r="I296" s="13" t="str">
        <f>HYPERLINK("http://eurocentrum-pivnilazne.cz","http://eurocentrum-pivnilazne.cz")</f>
        <v>http://eurocentrum-pivnilazne.cz</v>
      </c>
      <c r="J296" s="13" t="str">
        <f>HYPERLINK("https://www.facebook.com/pplazne","https://www.facebook.com/pplazne")</f>
        <v>https://www.facebook.com/pplazne</v>
      </c>
      <c r="K296" s="6" t="s">
        <v>2645</v>
      </c>
      <c r="L296" s="6"/>
      <c r="M296" s="6" t="s">
        <v>2646</v>
      </c>
      <c r="N296" s="6" t="s">
        <v>2647</v>
      </c>
      <c r="O296" s="6" t="s">
        <v>2648</v>
      </c>
      <c r="P296" s="6" t="s">
        <v>2649</v>
      </c>
      <c r="Q296" s="6"/>
      <c r="R296" s="6" t="s">
        <v>2650</v>
      </c>
      <c r="S296" s="6">
        <v>50.280292000000003</v>
      </c>
      <c r="T296" s="6">
        <v>12.84553</v>
      </c>
      <c r="U296" s="6"/>
      <c r="V296" s="6"/>
      <c r="W296" s="6"/>
      <c r="X296" s="6"/>
      <c r="Y296" s="6"/>
      <c r="Z296" s="6"/>
      <c r="AA296" s="6"/>
      <c r="AB296" s="6"/>
      <c r="AD296" s="6"/>
      <c r="AE296" s="16"/>
      <c r="AF296" t="str">
        <f t="shared" si="0"/>
        <v/>
      </c>
    </row>
    <row r="297" spans="1:32">
      <c r="A297" s="6">
        <v>273</v>
      </c>
      <c r="B297" s="6" t="s">
        <v>2651</v>
      </c>
      <c r="C297" s="6" t="s">
        <v>2652</v>
      </c>
      <c r="D297" s="6" t="s">
        <v>2653</v>
      </c>
      <c r="E297" s="12" t="s">
        <v>2654</v>
      </c>
      <c r="F297" s="6" t="s">
        <v>38</v>
      </c>
      <c r="G297" s="18">
        <v>2014</v>
      </c>
      <c r="H297" s="6"/>
      <c r="I297" s="13" t="str">
        <f>HYPERLINK("http://pivovarjadrnicek.cz","http://pivovarjadrnicek.cz")</f>
        <v>http://pivovarjadrnicek.cz</v>
      </c>
      <c r="J297" s="13" t="str">
        <f>HYPERLINK("https://www.facebook.com/pivovarjadrnicek","https://www.facebook.com/pivovarjadrnicek")</f>
        <v>https://www.facebook.com/pivovarjadrnicek</v>
      </c>
      <c r="K297" s="6" t="s">
        <v>2655</v>
      </c>
      <c r="L297" s="6"/>
      <c r="M297" s="6"/>
      <c r="N297" s="6"/>
      <c r="O297" s="6" t="s">
        <v>2656</v>
      </c>
      <c r="P297" s="6"/>
      <c r="Q297" s="6"/>
      <c r="R297" s="6" t="s">
        <v>2657</v>
      </c>
      <c r="S297" s="6">
        <v>49.601163</v>
      </c>
      <c r="T297" s="6">
        <v>17.068206</v>
      </c>
      <c r="U297" s="6"/>
      <c r="V297" s="6"/>
      <c r="W297" s="6"/>
      <c r="X297" s="6"/>
      <c r="Y297" s="6"/>
      <c r="Z297" s="6" t="s">
        <v>47</v>
      </c>
      <c r="AA297" s="6"/>
      <c r="AB297" s="6"/>
      <c r="AD297" s="6"/>
      <c r="AE297" s="16"/>
      <c r="AF297" t="str">
        <f t="shared" si="0"/>
        <v>ANO</v>
      </c>
    </row>
    <row r="298" spans="1:32">
      <c r="A298" s="6">
        <v>274</v>
      </c>
      <c r="B298" s="6" t="s">
        <v>2658</v>
      </c>
      <c r="C298" s="6" t="s">
        <v>2659</v>
      </c>
      <c r="D298" s="6" t="s">
        <v>2660</v>
      </c>
      <c r="E298" s="12" t="s">
        <v>2661</v>
      </c>
      <c r="F298" s="6" t="s">
        <v>57</v>
      </c>
      <c r="G298" s="11">
        <v>2014</v>
      </c>
      <c r="H298" s="6">
        <v>3600</v>
      </c>
      <c r="I298" s="13" t="str">
        <f>HYPERLINK("http://www.krusnohor.eu","http://www.krusnohor.eu")</f>
        <v>http://www.krusnohor.eu</v>
      </c>
      <c r="J298" s="13" t="str">
        <f>HYPERLINK("https://www.facebook.com/krusnohor","https://www.facebook.com/krusnohor")</f>
        <v>https://www.facebook.com/krusnohor</v>
      </c>
      <c r="K298" s="6" t="s">
        <v>2662</v>
      </c>
      <c r="L298" s="6"/>
      <c r="M298" s="6" t="s">
        <v>2663</v>
      </c>
      <c r="N298" s="6" t="s">
        <v>2664</v>
      </c>
      <c r="O298" s="6" t="s">
        <v>2658</v>
      </c>
      <c r="P298" s="6" t="s">
        <v>2665</v>
      </c>
      <c r="Q298" s="6"/>
      <c r="R298" s="6" t="s">
        <v>2666</v>
      </c>
      <c r="S298" s="6">
        <v>50.348289999999899</v>
      </c>
      <c r="T298" s="6">
        <v>12.511278000000001</v>
      </c>
      <c r="U298" s="6"/>
      <c r="V298" s="6"/>
      <c r="W298" s="6"/>
      <c r="X298" s="6"/>
      <c r="Y298" s="6"/>
      <c r="Z298" s="6" t="s">
        <v>47</v>
      </c>
      <c r="AA298" s="6"/>
      <c r="AB298" s="6"/>
      <c r="AD298" s="6"/>
      <c r="AE298" s="17" t="s">
        <v>47</v>
      </c>
      <c r="AF298" t="str">
        <f t="shared" si="0"/>
        <v>ANO</v>
      </c>
    </row>
    <row r="299" spans="1:32">
      <c r="A299" s="6">
        <v>275</v>
      </c>
      <c r="B299" s="6" t="s">
        <v>2667</v>
      </c>
      <c r="C299" s="6" t="s">
        <v>2668</v>
      </c>
      <c r="D299" s="6" t="s">
        <v>2669</v>
      </c>
      <c r="E299" s="12" t="s">
        <v>2670</v>
      </c>
      <c r="F299" s="6" t="s">
        <v>57</v>
      </c>
      <c r="G299" s="11">
        <v>2015</v>
      </c>
      <c r="H299" s="6">
        <v>150</v>
      </c>
      <c r="I299" s="13" t="str">
        <f>HYPERLINK("http://www.edencentre.cz","http://www.edencentre.cz")</f>
        <v>http://www.edencentre.cz</v>
      </c>
      <c r="J299" s="13" t="str">
        <f>HYPERLINK("https://www.facebook.com/centrumeden","https://www.facebook.com/centrumeden")</f>
        <v>https://www.facebook.com/centrumeden</v>
      </c>
      <c r="K299" s="6" t="s">
        <v>2671</v>
      </c>
      <c r="L299" s="6"/>
      <c r="M299" s="6"/>
      <c r="N299" s="6" t="s">
        <v>2672</v>
      </c>
      <c r="O299" s="6" t="s">
        <v>2673</v>
      </c>
      <c r="P299" s="6"/>
      <c r="Q299" s="6"/>
      <c r="R299" s="6" t="s">
        <v>2674</v>
      </c>
      <c r="S299" s="6">
        <v>49.515694000000003</v>
      </c>
      <c r="T299" s="6">
        <v>16.247696000000001</v>
      </c>
      <c r="U299" s="6"/>
      <c r="V299" s="6"/>
      <c r="W299" s="6"/>
      <c r="X299" s="6"/>
      <c r="Y299" s="6"/>
      <c r="Z299" s="6"/>
      <c r="AA299" s="6"/>
      <c r="AB299" s="6"/>
      <c r="AD299" s="6"/>
      <c r="AE299" s="16"/>
      <c r="AF299" t="str">
        <f t="shared" si="0"/>
        <v/>
      </c>
    </row>
    <row r="300" spans="1:32">
      <c r="A300" s="6">
        <v>276</v>
      </c>
      <c r="B300" s="6" t="s">
        <v>2675</v>
      </c>
      <c r="C300" s="6" t="s">
        <v>2676</v>
      </c>
      <c r="D300" s="6" t="s">
        <v>2677</v>
      </c>
      <c r="E300" s="12" t="s">
        <v>2678</v>
      </c>
      <c r="F300" s="6" t="s">
        <v>73</v>
      </c>
      <c r="G300" s="11">
        <v>2015</v>
      </c>
      <c r="H300" s="6">
        <v>1200</v>
      </c>
      <c r="I300" s="13" t="str">
        <f>HYPERLINK("http://www.pivovarmonopol.cz","http://www.pivovarmonopol.cz")</f>
        <v>http://www.pivovarmonopol.cz</v>
      </c>
      <c r="J300" s="13" t="str">
        <f>HYPERLINK("https://www.facebook.com/pivovarmonopol","https://www.facebook.com/pivovarmonopol")</f>
        <v>https://www.facebook.com/pivovarmonopol</v>
      </c>
      <c r="K300" s="6" t="s">
        <v>2679</v>
      </c>
      <c r="L300" s="6"/>
      <c r="M300" s="6"/>
      <c r="N300" s="6"/>
      <c r="O300" s="6" t="s">
        <v>2680</v>
      </c>
      <c r="P300" s="6"/>
      <c r="Q300" s="15" t="s">
        <v>2681</v>
      </c>
      <c r="R300" s="6" t="s">
        <v>2682</v>
      </c>
      <c r="S300" s="6">
        <v>50.643003999999898</v>
      </c>
      <c r="T300" s="6">
        <v>13.829796</v>
      </c>
      <c r="U300" s="6"/>
      <c r="V300" s="6"/>
      <c r="W300" s="6"/>
      <c r="X300" s="6"/>
      <c r="Y300" s="6"/>
      <c r="Z300" s="6"/>
      <c r="AA300" s="6" t="s">
        <v>47</v>
      </c>
      <c r="AB300" s="6"/>
      <c r="AD300" s="6"/>
      <c r="AE300" s="17" t="s">
        <v>47</v>
      </c>
      <c r="AF300" t="str">
        <f t="shared" si="0"/>
        <v>ANO</v>
      </c>
    </row>
    <row r="301" spans="1:32">
      <c r="A301" s="6">
        <v>277</v>
      </c>
      <c r="B301" s="6" t="s">
        <v>2683</v>
      </c>
      <c r="C301" s="6" t="s">
        <v>2684</v>
      </c>
      <c r="D301" s="6" t="s">
        <v>2685</v>
      </c>
      <c r="E301" s="12" t="s">
        <v>2686</v>
      </c>
      <c r="F301" s="6" t="s">
        <v>38</v>
      </c>
      <c r="G301" s="11">
        <v>2015</v>
      </c>
      <c r="H301" s="6"/>
      <c r="I301" s="13" t="str">
        <f>HYPERLINK("http://www.vildenberg.cz","http://www.vildenberg.cz")</f>
        <v>http://www.vildenberg.cz</v>
      </c>
      <c r="J301" s="13" t="str">
        <f>HYPERLINK("https://www.facebook.com/Hradsk%C3%A1-Restaurace-%C5%A0umick%C3%BD-Pivovar-1378920342421522","https://www.facebook.com/Hradsk%C3%A1-Restaurace-%C5%A0umick%C3%BD-Pivovar-1378920342421522")</f>
        <v>https://www.facebook.com/Hradsk%C3%A1-Restaurace-%C5%A0umick%C3%BD-Pivovar-1378920342421522</v>
      </c>
      <c r="K301" s="6" t="s">
        <v>2689</v>
      </c>
      <c r="L301" s="6"/>
      <c r="M301" s="6"/>
      <c r="N301" s="6"/>
      <c r="O301" s="6" t="s">
        <v>2690</v>
      </c>
      <c r="P301" s="6" t="s">
        <v>2691</v>
      </c>
      <c r="Q301" s="15" t="s">
        <v>2692</v>
      </c>
      <c r="R301" s="6" t="s">
        <v>2693</v>
      </c>
      <c r="S301" s="6">
        <v>49.214019</v>
      </c>
      <c r="T301" s="6">
        <v>16.823775999999899</v>
      </c>
      <c r="U301" s="6"/>
      <c r="V301" s="6"/>
      <c r="W301" s="6"/>
      <c r="X301" s="6"/>
      <c r="Y301" s="6"/>
      <c r="Z301" s="6"/>
      <c r="AA301" s="6"/>
      <c r="AB301" s="6" t="s">
        <v>47</v>
      </c>
      <c r="AD301" s="6"/>
      <c r="AE301" s="16"/>
      <c r="AF301" t="str">
        <f t="shared" si="0"/>
        <v>ANO</v>
      </c>
    </row>
    <row r="302" spans="1:32">
      <c r="A302" s="6">
        <v>278</v>
      </c>
      <c r="B302" s="6" t="s">
        <v>2694</v>
      </c>
      <c r="C302" s="6" t="s">
        <v>2695</v>
      </c>
      <c r="D302" s="6" t="s">
        <v>2696</v>
      </c>
      <c r="E302" s="12" t="s">
        <v>2697</v>
      </c>
      <c r="F302" s="6" t="s">
        <v>57</v>
      </c>
      <c r="G302" s="11">
        <v>2015</v>
      </c>
      <c r="H302" s="6"/>
      <c r="I302" s="13" t="str">
        <f>HYPERLINK("http://www.velickybombardak.cz","http://www.velickybombardak.cz")</f>
        <v>http://www.velickybombardak.cz</v>
      </c>
      <c r="J302" s="13" t="str">
        <f>HYPERLINK("https://www.facebook.com/velickybombardak","https://www.facebook.com/velickybombardak")</f>
        <v>https://www.facebook.com/velickybombardak</v>
      </c>
      <c r="K302" s="6" t="s">
        <v>2698</v>
      </c>
      <c r="L302" s="6"/>
      <c r="M302" s="6" t="s">
        <v>2699</v>
      </c>
      <c r="N302" s="6"/>
      <c r="O302" s="6" t="s">
        <v>2700</v>
      </c>
      <c r="P302" s="6" t="s">
        <v>2701</v>
      </c>
      <c r="Q302" s="6"/>
      <c r="R302" s="6" t="s">
        <v>2702</v>
      </c>
      <c r="S302" s="6">
        <v>48.879479000000003</v>
      </c>
      <c r="T302" s="6">
        <v>17.520591</v>
      </c>
      <c r="U302" s="6"/>
      <c r="V302" s="6"/>
      <c r="W302" s="6"/>
      <c r="X302" s="6"/>
      <c r="Y302" s="6"/>
      <c r="Z302" s="6"/>
      <c r="AA302" s="6"/>
      <c r="AB302" s="6"/>
      <c r="AD302" s="6"/>
      <c r="AE302" s="16"/>
      <c r="AF302" t="str">
        <f t="shared" si="0"/>
        <v/>
      </c>
    </row>
    <row r="303" spans="1:32">
      <c r="A303" s="6">
        <v>279</v>
      </c>
      <c r="B303" s="6" t="s">
        <v>976</v>
      </c>
      <c r="C303" s="6" t="s">
        <v>2703</v>
      </c>
      <c r="D303" s="6" t="s">
        <v>976</v>
      </c>
      <c r="E303" s="12" t="s">
        <v>2704</v>
      </c>
      <c r="F303" s="6" t="s">
        <v>73</v>
      </c>
      <c r="G303" s="11">
        <v>2015</v>
      </c>
      <c r="H303" s="6"/>
      <c r="I303" s="13" t="str">
        <f>HYPERLINK("http://www.pivovarprachatice.cz","http://www.pivovarprachatice.cz")</f>
        <v>http://www.pivovarprachatice.cz</v>
      </c>
      <c r="J303" s="13" t="str">
        <f>HYPERLINK("https://www.facebook.com/PivovarPrachatice","https://www.facebook.com/PivovarPrachatice")</f>
        <v>https://www.facebook.com/PivovarPrachatice</v>
      </c>
      <c r="K303" s="6" t="s">
        <v>2705</v>
      </c>
      <c r="L303" s="6"/>
      <c r="M303" s="6" t="s">
        <v>2706</v>
      </c>
      <c r="N303" s="6"/>
      <c r="O303" s="6" t="s">
        <v>2707</v>
      </c>
      <c r="P303" s="6"/>
      <c r="Q303" s="6"/>
      <c r="R303" s="6" t="s">
        <v>2708</v>
      </c>
      <c r="S303" s="6">
        <v>49.012211999999899</v>
      </c>
      <c r="T303" s="6">
        <v>13.9969059999999</v>
      </c>
      <c r="U303" s="6"/>
      <c r="V303" s="6"/>
      <c r="W303" s="6"/>
      <c r="X303" s="6"/>
      <c r="Y303" s="6"/>
      <c r="Z303" s="6" t="s">
        <v>47</v>
      </c>
      <c r="AA303" s="6"/>
      <c r="AB303" s="6"/>
      <c r="AD303" s="6"/>
      <c r="AE303" s="16"/>
      <c r="AF303" t="str">
        <f t="shared" si="0"/>
        <v>ANO</v>
      </c>
    </row>
    <row r="304" spans="1:32">
      <c r="A304" s="6">
        <v>280</v>
      </c>
      <c r="B304" s="6" t="s">
        <v>2709</v>
      </c>
      <c r="C304" s="6" t="s">
        <v>2710</v>
      </c>
      <c r="D304" s="6" t="s">
        <v>2711</v>
      </c>
      <c r="E304" s="12" t="s">
        <v>2712</v>
      </c>
      <c r="F304" s="6" t="s">
        <v>57</v>
      </c>
      <c r="G304" s="11">
        <v>2015</v>
      </c>
      <c r="H304" s="6">
        <v>300</v>
      </c>
      <c r="I304" s="6"/>
      <c r="J304" s="15" t="s">
        <v>2713</v>
      </c>
      <c r="K304" s="6" t="s">
        <v>2714</v>
      </c>
      <c r="L304" s="6"/>
      <c r="M304" s="6"/>
      <c r="N304" s="6"/>
      <c r="O304" s="6" t="s">
        <v>2709</v>
      </c>
      <c r="P304" s="6" t="s">
        <v>2715</v>
      </c>
      <c r="Q304" s="6"/>
      <c r="R304" s="6" t="s">
        <v>2716</v>
      </c>
      <c r="S304" s="6">
        <v>48.901204999999898</v>
      </c>
      <c r="T304" s="6">
        <v>16.059909000000001</v>
      </c>
      <c r="U304" s="6"/>
      <c r="V304" s="6"/>
      <c r="W304" s="6"/>
      <c r="X304" s="6"/>
      <c r="Y304" s="6"/>
      <c r="Z304" s="6" t="s">
        <v>47</v>
      </c>
      <c r="AA304" s="6"/>
      <c r="AB304" s="6"/>
      <c r="AD304" s="6"/>
      <c r="AE304" s="16"/>
      <c r="AF304" t="str">
        <f t="shared" si="0"/>
        <v>ANO</v>
      </c>
    </row>
    <row r="305" spans="1:37">
      <c r="A305" s="6">
        <v>281</v>
      </c>
      <c r="B305" s="6" t="s">
        <v>2717</v>
      </c>
      <c r="C305" s="6" t="s">
        <v>2718</v>
      </c>
      <c r="D305" s="6" t="s">
        <v>2719</v>
      </c>
      <c r="E305" s="12" t="s">
        <v>2720</v>
      </c>
      <c r="F305" s="6" t="s">
        <v>38</v>
      </c>
      <c r="G305" s="11">
        <v>2015</v>
      </c>
      <c r="H305" s="6"/>
      <c r="I305" s="13" t="str">
        <f>HYPERLINK("http://www.pivovarnovedvory.cz","http://www.pivovarnovedvory.cz")</f>
        <v>http://www.pivovarnovedvory.cz</v>
      </c>
      <c r="J305" s="13" t="str">
        <f>HYPERLINK("https://www.facebook.com/novodvorskypivovar","https://www.facebook.com/novodvorskypivovar")</f>
        <v>https://www.facebook.com/novodvorskypivovar</v>
      </c>
      <c r="K305" s="6" t="s">
        <v>2721</v>
      </c>
      <c r="L305" s="6"/>
      <c r="M305" s="6" t="s">
        <v>2722</v>
      </c>
      <c r="N305" s="6" t="s">
        <v>2723</v>
      </c>
      <c r="O305" s="6" t="s">
        <v>2724</v>
      </c>
      <c r="P305" s="6"/>
      <c r="Q305" s="6"/>
      <c r="R305" s="6" t="s">
        <v>2725</v>
      </c>
      <c r="S305" s="6">
        <v>49.502132000000003</v>
      </c>
      <c r="T305" s="6">
        <v>17.572724000000001</v>
      </c>
      <c r="U305" s="6"/>
      <c r="V305" s="6"/>
      <c r="W305" s="6"/>
      <c r="X305" s="6"/>
      <c r="Y305" s="6"/>
      <c r="Z305" s="6" t="s">
        <v>47</v>
      </c>
      <c r="AA305" s="6"/>
      <c r="AB305" s="6"/>
      <c r="AD305" s="6"/>
      <c r="AE305" s="16"/>
      <c r="AF305" t="str">
        <f t="shared" si="0"/>
        <v>ANO</v>
      </c>
    </row>
    <row r="306" spans="1:37">
      <c r="A306" s="6">
        <v>282</v>
      </c>
      <c r="B306" s="6" t="s">
        <v>2726</v>
      </c>
      <c r="C306" s="6" t="s">
        <v>2727</v>
      </c>
      <c r="D306" s="6" t="s">
        <v>1903</v>
      </c>
      <c r="E306" s="12" t="s">
        <v>2728</v>
      </c>
      <c r="F306" s="6" t="s">
        <v>73</v>
      </c>
      <c r="G306" s="11">
        <v>2015</v>
      </c>
      <c r="H306" s="6">
        <v>800</v>
      </c>
      <c r="I306" s="13" t="str">
        <f>HYPERLINK("http://www.polivar.cz","http://www.polivar.cz")</f>
        <v>http://www.polivar.cz</v>
      </c>
      <c r="J306" s="13" t="str">
        <f>HYPERLINK("https://www.facebook.com/minipivovarpolivar","https://www.facebook.com/minipivovarpolivar")</f>
        <v>https://www.facebook.com/minipivovarpolivar</v>
      </c>
      <c r="K306" s="6" t="s">
        <v>2729</v>
      </c>
      <c r="L306" s="6"/>
      <c r="M306" s="6"/>
      <c r="N306" s="6"/>
      <c r="O306" s="6" t="s">
        <v>2730</v>
      </c>
      <c r="P306" s="6"/>
      <c r="Q306" s="15" t="s">
        <v>2731</v>
      </c>
      <c r="R306" s="6" t="s">
        <v>2732</v>
      </c>
      <c r="S306" s="6">
        <v>49.602406000000002</v>
      </c>
      <c r="T306" s="6">
        <v>18.148071000000002</v>
      </c>
      <c r="U306" s="6"/>
      <c r="V306" s="6"/>
      <c r="W306" s="6"/>
      <c r="X306" s="6"/>
      <c r="Y306" s="6"/>
      <c r="Z306" s="6" t="s">
        <v>47</v>
      </c>
      <c r="AA306" s="6"/>
      <c r="AB306" s="6"/>
      <c r="AD306" s="6"/>
      <c r="AE306" s="17" t="s">
        <v>47</v>
      </c>
      <c r="AF306" t="str">
        <f t="shared" si="0"/>
        <v>ANO</v>
      </c>
    </row>
    <row r="307" spans="1:37">
      <c r="A307" s="6">
        <v>283</v>
      </c>
      <c r="B307" s="6" t="s">
        <v>2733</v>
      </c>
      <c r="C307" s="6" t="s">
        <v>2734</v>
      </c>
      <c r="D307" s="6" t="s">
        <v>2735</v>
      </c>
      <c r="E307" s="12" t="s">
        <v>2736</v>
      </c>
      <c r="F307" s="6" t="s">
        <v>73</v>
      </c>
      <c r="G307" s="11">
        <v>2015</v>
      </c>
      <c r="H307" s="6"/>
      <c r="I307" s="13" t="str">
        <f>HYPERLINK("http://www.racin.cz","http://www.racin.cz")</f>
        <v>http://www.racin.cz</v>
      </c>
      <c r="J307" s="13" t="str">
        <f>HYPERLINK("https://www.facebook.com/racinskyminipivovar","https://www.facebook.com/racinskyminipivovar")</f>
        <v>https://www.facebook.com/racinskyminipivovar</v>
      </c>
      <c r="K307" s="6" t="s">
        <v>2737</v>
      </c>
      <c r="L307" s="6"/>
      <c r="M307" s="6"/>
      <c r="N307" s="6" t="s">
        <v>2738</v>
      </c>
      <c r="O307" s="6" t="s">
        <v>1410</v>
      </c>
      <c r="P307" s="6" t="s">
        <v>2739</v>
      </c>
      <c r="Q307" s="6"/>
      <c r="R307" s="6" t="s">
        <v>2740</v>
      </c>
      <c r="S307" s="6">
        <v>49.617151999999898</v>
      </c>
      <c r="T307" s="6">
        <v>15.867213</v>
      </c>
      <c r="U307" s="6"/>
      <c r="V307" s="6"/>
      <c r="W307" s="6"/>
      <c r="X307" s="6"/>
      <c r="Y307" s="6"/>
      <c r="Z307" s="6" t="s">
        <v>47</v>
      </c>
      <c r="AA307" s="6"/>
      <c r="AB307" s="6"/>
      <c r="AD307" s="6"/>
      <c r="AE307" s="17" t="s">
        <v>47</v>
      </c>
      <c r="AF307" t="str">
        <f t="shared" si="0"/>
        <v>ANO</v>
      </c>
    </row>
    <row r="308" spans="1:37">
      <c r="A308" s="6">
        <v>284</v>
      </c>
      <c r="B308" s="6" t="s">
        <v>2741</v>
      </c>
      <c r="C308" s="6" t="s">
        <v>2742</v>
      </c>
      <c r="D308" s="6" t="s">
        <v>2743</v>
      </c>
      <c r="E308" s="12" t="s">
        <v>2744</v>
      </c>
      <c r="F308" s="6" t="s">
        <v>38</v>
      </c>
      <c r="G308" s="11">
        <v>2015</v>
      </c>
      <c r="H308" s="6"/>
      <c r="I308" s="13" t="str">
        <f>HYPERLINK("http://www.minipivovarpalicak.cz","http://www.minipivovarpalicak.cz")</f>
        <v>http://www.minipivovarpalicak.cz</v>
      </c>
      <c r="J308" s="6"/>
      <c r="K308" s="6" t="s">
        <v>2745</v>
      </c>
      <c r="L308" s="6"/>
      <c r="M308" s="6"/>
      <c r="N308" s="6"/>
      <c r="O308" s="6" t="s">
        <v>2746</v>
      </c>
      <c r="P308" s="6"/>
      <c r="Q308" s="6"/>
      <c r="R308" s="6" t="s">
        <v>2747</v>
      </c>
      <c r="S308" s="6">
        <v>49.550458999999897</v>
      </c>
      <c r="T308" s="6">
        <v>17.9223339999999</v>
      </c>
      <c r="U308" s="6"/>
      <c r="V308" s="6"/>
      <c r="W308" s="6"/>
      <c r="X308" s="6"/>
      <c r="Y308" s="6"/>
      <c r="Z308" s="6" t="s">
        <v>47</v>
      </c>
      <c r="AA308" s="6"/>
      <c r="AB308" s="6"/>
      <c r="AD308" s="6"/>
      <c r="AE308" s="16"/>
      <c r="AF308" t="str">
        <f t="shared" si="0"/>
        <v>ANO</v>
      </c>
    </row>
    <row r="309" spans="1:37">
      <c r="A309" s="6">
        <v>285</v>
      </c>
      <c r="B309" s="6" t="s">
        <v>2748</v>
      </c>
      <c r="C309" s="6" t="s">
        <v>2749</v>
      </c>
      <c r="D309" s="6" t="s">
        <v>711</v>
      </c>
      <c r="E309" s="12" t="s">
        <v>2750</v>
      </c>
      <c r="F309" s="6" t="s">
        <v>73</v>
      </c>
      <c r="G309" s="11">
        <v>2015</v>
      </c>
      <c r="H309" s="6">
        <v>200</v>
      </c>
      <c r="I309" s="13" t="str">
        <f>HYPERLINK("http://www.pivovarudobrenskych.cz","http://www.pivovarudobrenskych.cz")</f>
        <v>http://www.pivovarudobrenskych.cz</v>
      </c>
      <c r="J309" s="13" t="str">
        <f>HYPERLINK("https://www.facebook.com/pivovarudobrenskych","https://www.facebook.com/pivovarudobrenskych")</f>
        <v>https://www.facebook.com/pivovarudobrenskych</v>
      </c>
      <c r="K309" s="6" t="s">
        <v>2751</v>
      </c>
      <c r="L309" s="6"/>
      <c r="M309" s="6"/>
      <c r="N309" s="6"/>
      <c r="O309" s="6" t="s">
        <v>2752</v>
      </c>
      <c r="P309" s="6"/>
      <c r="Q309" s="6"/>
      <c r="R309" s="6" t="s">
        <v>2753</v>
      </c>
      <c r="S309" s="6">
        <v>50.084063999999898</v>
      </c>
      <c r="T309" s="6">
        <v>14.415559</v>
      </c>
      <c r="U309" s="6"/>
      <c r="V309" s="6"/>
      <c r="W309" s="6"/>
      <c r="X309" s="6"/>
      <c r="Y309" s="6"/>
      <c r="Z309" s="6" t="s">
        <v>47</v>
      </c>
      <c r="AA309" s="6"/>
      <c r="AB309" s="6"/>
      <c r="AD309" s="6"/>
      <c r="AE309" s="17" t="s">
        <v>47</v>
      </c>
      <c r="AF309" t="str">
        <f t="shared" si="0"/>
        <v>ANO</v>
      </c>
    </row>
    <row r="310" spans="1:37">
      <c r="A310" s="6">
        <v>286</v>
      </c>
      <c r="B310" s="6" t="s">
        <v>2754</v>
      </c>
      <c r="C310" s="6" t="s">
        <v>2755</v>
      </c>
      <c r="D310" s="6" t="s">
        <v>1140</v>
      </c>
      <c r="E310" s="12" t="s">
        <v>2756</v>
      </c>
      <c r="F310" s="6" t="s">
        <v>38</v>
      </c>
      <c r="G310" s="11">
        <v>2015</v>
      </c>
      <c r="H310" s="6">
        <v>800</v>
      </c>
      <c r="I310" s="13" t="str">
        <f>HYPERLINK("http://www.pivovar-raven.cz","http://www.pivovar-raven.cz")</f>
        <v>http://www.pivovar-raven.cz</v>
      </c>
      <c r="J310" s="13" t="str">
        <f>HYPERLINK("https://www.facebook.com/pivoraven","https://www.facebook.com/pivoraven")</f>
        <v>https://www.facebook.com/pivoraven</v>
      </c>
      <c r="K310" s="6" t="s">
        <v>2757</v>
      </c>
      <c r="L310" s="6"/>
      <c r="M310" s="6"/>
      <c r="N310" s="6" t="s">
        <v>2758</v>
      </c>
      <c r="O310" s="6" t="s">
        <v>2759</v>
      </c>
      <c r="P310" s="6" t="s">
        <v>2760</v>
      </c>
      <c r="Q310" s="6"/>
      <c r="R310" s="6" t="s">
        <v>2761</v>
      </c>
      <c r="S310" s="6">
        <v>49.769025999999897</v>
      </c>
      <c r="T310" s="6">
        <v>13.375842</v>
      </c>
      <c r="U310" s="6"/>
      <c r="V310" s="6"/>
      <c r="W310" s="6"/>
      <c r="X310" s="6"/>
      <c r="Y310" s="6"/>
      <c r="Z310" s="6"/>
      <c r="AA310" s="6"/>
      <c r="AB310" s="6"/>
      <c r="AD310" s="6"/>
      <c r="AE310" s="16"/>
      <c r="AF310" t="str">
        <f t="shared" si="0"/>
        <v/>
      </c>
    </row>
    <row r="311" spans="1:37">
      <c r="A311" s="6">
        <v>287</v>
      </c>
      <c r="B311" s="6" t="s">
        <v>2762</v>
      </c>
      <c r="C311" s="6" t="s">
        <v>2763</v>
      </c>
      <c r="D311" s="6" t="s">
        <v>2764</v>
      </c>
      <c r="E311" s="12" t="s">
        <v>2765</v>
      </c>
      <c r="F311" s="6" t="s">
        <v>57</v>
      </c>
      <c r="G311" s="11">
        <v>2015</v>
      </c>
      <c r="H311" s="6"/>
      <c r="I311" s="13" t="str">
        <f>HYPERLINK("http://www.nachmelenaopice.cz","http://www.nachmelenaopice.cz")</f>
        <v>http://www.nachmelenaopice.cz</v>
      </c>
      <c r="J311" s="13" t="str">
        <f>HYPERLINK("https://www.facebook.com/nachmelenaopice","https://www.facebook.com/nachmelenaopice")</f>
        <v>https://www.facebook.com/nachmelenaopice</v>
      </c>
      <c r="K311" s="6" t="s">
        <v>2766</v>
      </c>
      <c r="L311" s="6"/>
      <c r="M311" s="6" t="s">
        <v>2767</v>
      </c>
      <c r="N311" s="6"/>
      <c r="O311" s="6" t="s">
        <v>2768</v>
      </c>
      <c r="P311" s="6"/>
      <c r="Q311" s="6"/>
      <c r="R311" s="6" t="s">
        <v>2769</v>
      </c>
      <c r="S311" s="6">
        <v>50.087499999999999</v>
      </c>
      <c r="T311" s="6">
        <v>17.702606400000001</v>
      </c>
      <c r="U311" s="6"/>
      <c r="V311" s="6"/>
      <c r="W311" s="6"/>
      <c r="X311" s="6"/>
      <c r="Y311" s="6"/>
      <c r="Z311" s="6"/>
      <c r="AA311" s="6"/>
      <c r="AB311" s="6"/>
      <c r="AD311" s="6"/>
      <c r="AE311" s="16"/>
      <c r="AF311" t="str">
        <f t="shared" si="0"/>
        <v/>
      </c>
    </row>
    <row r="312" spans="1:37">
      <c r="A312" s="6">
        <v>288</v>
      </c>
      <c r="B312" s="6" t="s">
        <v>2770</v>
      </c>
      <c r="C312" s="6" t="s">
        <v>2771</v>
      </c>
      <c r="D312" s="6" t="s">
        <v>1140</v>
      </c>
      <c r="E312" s="12" t="s">
        <v>2772</v>
      </c>
      <c r="F312" s="6" t="s">
        <v>73</v>
      </c>
      <c r="G312" s="11">
        <v>2016</v>
      </c>
      <c r="H312" s="6"/>
      <c r="I312" s="13" t="str">
        <f>HYPERLINK("http://beerfactoryplzen.cz","http://beerfactoryplzen.cz")</f>
        <v>http://beerfactoryplzen.cz</v>
      </c>
      <c r="J312" s="13" t="str">
        <f>HYPERLINK("https://www.facebook.com/BeerFactoryPlzen","https://www.facebook.com/BeerFactoryPlzen")</f>
        <v>https://www.facebook.com/BeerFactoryPlzen</v>
      </c>
      <c r="K312" s="6" t="s">
        <v>2774</v>
      </c>
      <c r="L312" s="6"/>
      <c r="M312" s="6" t="s">
        <v>2775</v>
      </c>
      <c r="N312" s="6"/>
      <c r="O312" s="6" t="s">
        <v>2776</v>
      </c>
      <c r="P312" s="6"/>
      <c r="Q312" s="6"/>
      <c r="R312" s="6" t="s">
        <v>2777</v>
      </c>
      <c r="S312" s="6">
        <v>49.7488379999999</v>
      </c>
      <c r="T312" s="6">
        <v>13.3775569999999</v>
      </c>
      <c r="U312" s="6"/>
      <c r="V312" s="6"/>
      <c r="W312" s="6"/>
      <c r="X312" s="6"/>
      <c r="Y312" s="6"/>
      <c r="Z312" s="6"/>
      <c r="AA312" s="6"/>
      <c r="AB312" s="6"/>
      <c r="AD312" s="6"/>
      <c r="AE312" s="16"/>
      <c r="AF312" t="str">
        <f t="shared" si="0"/>
        <v/>
      </c>
    </row>
    <row r="313" spans="1:37">
      <c r="A313" s="6">
        <v>289</v>
      </c>
      <c r="B313" s="6" t="s">
        <v>2778</v>
      </c>
      <c r="C313" s="6" t="s">
        <v>2779</v>
      </c>
      <c r="D313" s="6" t="s">
        <v>2780</v>
      </c>
      <c r="E313" s="12" t="s">
        <v>2781</v>
      </c>
      <c r="F313" s="6" t="s">
        <v>57</v>
      </c>
      <c r="G313" s="11">
        <v>2016</v>
      </c>
      <c r="H313" s="6">
        <v>500</v>
      </c>
      <c r="I313" s="13" t="str">
        <f>HYPERLINK("http://hoppydog.cz","http://hoppydog.cz")</f>
        <v>http://hoppydog.cz</v>
      </c>
      <c r="J313" s="13" t="str">
        <f>HYPERLINK("https://www.facebook.com/PivovarHoppyDog","https://www.facebook.com/PivovarHoppyDog")</f>
        <v>https://www.facebook.com/PivovarHoppyDog</v>
      </c>
      <c r="K313" s="6" t="s">
        <v>2783</v>
      </c>
      <c r="L313" s="6"/>
      <c r="M313" s="6" t="s">
        <v>2784</v>
      </c>
      <c r="N313" s="6"/>
      <c r="O313" s="6" t="s">
        <v>2785</v>
      </c>
      <c r="P313" s="12" t="s">
        <v>2786</v>
      </c>
      <c r="Q313" s="15" t="s">
        <v>2787</v>
      </c>
      <c r="R313" s="6" t="s">
        <v>2788</v>
      </c>
      <c r="S313" s="6">
        <v>49.812076699999999</v>
      </c>
      <c r="T313" s="6">
        <v>18.2728264</v>
      </c>
      <c r="U313" s="6"/>
      <c r="V313" s="6"/>
      <c r="W313" s="6"/>
      <c r="X313" s="6"/>
      <c r="Y313" s="6"/>
      <c r="Z313" s="6"/>
      <c r="AA313" s="6" t="s">
        <v>47</v>
      </c>
      <c r="AB313" s="6" t="s">
        <v>47</v>
      </c>
      <c r="AD313" s="6" t="s">
        <v>47</v>
      </c>
      <c r="AE313" s="17" t="s">
        <v>47</v>
      </c>
      <c r="AF313" t="str">
        <f t="shared" si="0"/>
        <v>ANO</v>
      </c>
    </row>
    <row r="314" spans="1:37">
      <c r="A314" s="19">
        <v>290</v>
      </c>
      <c r="B314" s="20" t="s">
        <v>2789</v>
      </c>
      <c r="C314" s="20" t="s">
        <v>2790</v>
      </c>
      <c r="D314" s="16" t="s">
        <v>2791</v>
      </c>
      <c r="E314" s="23" t="s">
        <v>2792</v>
      </c>
      <c r="F314" s="20" t="s">
        <v>113</v>
      </c>
      <c r="G314" s="24">
        <v>2014.2016000000001</v>
      </c>
      <c r="H314" s="19">
        <v>250</v>
      </c>
      <c r="I314" s="20" t="s">
        <v>2793</v>
      </c>
      <c r="J314" s="16" t="s">
        <v>2794</v>
      </c>
      <c r="K314" s="26" t="s">
        <v>2795</v>
      </c>
      <c r="L314" s="20"/>
      <c r="M314" s="16" t="s">
        <v>2796</v>
      </c>
      <c r="N314" s="20"/>
      <c r="O314" s="16" t="s">
        <v>2797</v>
      </c>
      <c r="P314" s="20"/>
      <c r="Q314" s="20"/>
      <c r="R314" s="20" t="s">
        <v>2798</v>
      </c>
      <c r="S314" s="19">
        <v>49.549587000000002</v>
      </c>
      <c r="T314" s="19">
        <v>16.225258</v>
      </c>
      <c r="U314" s="20"/>
      <c r="V314" s="20"/>
      <c r="W314" s="20"/>
      <c r="X314" s="20"/>
      <c r="Y314" s="20"/>
      <c r="Z314" s="20" t="s">
        <v>47</v>
      </c>
      <c r="AA314" s="20"/>
      <c r="AB314" s="20"/>
      <c r="AC314" s="20"/>
      <c r="AD314" s="20"/>
      <c r="AE314" s="20"/>
      <c r="AF314" t="str">
        <f t="shared" si="0"/>
        <v>ANO</v>
      </c>
      <c r="AG314" s="20"/>
      <c r="AH314" s="20"/>
      <c r="AI314" s="20"/>
      <c r="AJ314" s="20"/>
      <c r="AK314" s="20"/>
    </row>
    <row r="315" spans="1:37">
      <c r="A315" s="6">
        <v>290</v>
      </c>
      <c r="B315" s="6" t="s">
        <v>2799</v>
      </c>
      <c r="C315" s="6" t="s">
        <v>2800</v>
      </c>
      <c r="D315" s="6" t="s">
        <v>711</v>
      </c>
      <c r="E315" s="12" t="s">
        <v>2801</v>
      </c>
      <c r="F315" s="6" t="s">
        <v>73</v>
      </c>
      <c r="G315" s="11">
        <v>2016</v>
      </c>
      <c r="H315" s="6"/>
      <c r="I315" s="13" t="str">
        <f>HYPERLINK("https://www.pivovarusupa.cz","https://www.pivovarusupa.cz")</f>
        <v>https://www.pivovarusupa.cz</v>
      </c>
      <c r="J315" s="13" t="str">
        <f>HYPERLINK("https://www.facebook.com/pivovarusupa","https://www.facebook.com/pivovarusupa")</f>
        <v>https://www.facebook.com/pivovarusupa</v>
      </c>
      <c r="K315" s="6" t="s">
        <v>2803</v>
      </c>
      <c r="L315" s="6"/>
      <c r="M315" s="6"/>
      <c r="N315" s="6"/>
      <c r="O315" s="6" t="s">
        <v>2804</v>
      </c>
      <c r="P315" s="6"/>
      <c r="Q315" s="15" t="s">
        <v>2805</v>
      </c>
      <c r="R315" s="6" t="s">
        <v>2806</v>
      </c>
      <c r="S315" s="6">
        <v>50.0871</v>
      </c>
      <c r="T315" s="6">
        <v>14.424417</v>
      </c>
      <c r="U315" s="6"/>
      <c r="V315" s="6"/>
      <c r="W315" s="6"/>
      <c r="X315" s="6"/>
      <c r="Y315" s="6"/>
      <c r="Z315" s="6"/>
      <c r="AA315" s="6"/>
      <c r="AB315" s="6"/>
      <c r="AD315" s="6" t="s">
        <v>47</v>
      </c>
      <c r="AE315" s="17" t="s">
        <v>47</v>
      </c>
      <c r="AF315" t="str">
        <f t="shared" si="0"/>
        <v>ANO</v>
      </c>
    </row>
    <row r="316" spans="1:37">
      <c r="A316" s="6">
        <v>291</v>
      </c>
      <c r="B316" s="6" t="s">
        <v>2807</v>
      </c>
      <c r="C316" s="6" t="s">
        <v>2808</v>
      </c>
      <c r="D316" s="6" t="s">
        <v>276</v>
      </c>
      <c r="E316" s="12" t="s">
        <v>2809</v>
      </c>
      <c r="F316" s="6" t="s">
        <v>38</v>
      </c>
      <c r="G316" s="11">
        <v>2016</v>
      </c>
      <c r="H316" s="6"/>
      <c r="I316" s="13" t="str">
        <f>HYPERLINK("http://www.mouchapivo.cz","http://www.mouchapivo.cz")</f>
        <v>http://www.mouchapivo.cz</v>
      </c>
      <c r="J316" s="13" t="str">
        <f>HYPERLINK("https://www.facebook.com/Mouchapivo","https://www.facebook.com/Mouchapivo")</f>
        <v>https://www.facebook.com/Mouchapivo</v>
      </c>
      <c r="K316" s="6" t="s">
        <v>2810</v>
      </c>
      <c r="L316" s="6"/>
      <c r="M316" s="6" t="s">
        <v>2811</v>
      </c>
      <c r="N316" s="6"/>
      <c r="O316" s="6" t="s">
        <v>2812</v>
      </c>
      <c r="P316" s="6" t="s">
        <v>2813</v>
      </c>
      <c r="Q316" s="6"/>
      <c r="R316" s="6" t="s">
        <v>2814</v>
      </c>
      <c r="S316" s="6">
        <v>50.029732000000003</v>
      </c>
      <c r="T316" s="6">
        <v>14.409359</v>
      </c>
      <c r="U316" s="6"/>
      <c r="V316" s="6"/>
      <c r="W316" s="6"/>
      <c r="X316" s="6"/>
      <c r="Y316" s="6"/>
      <c r="Z316" s="6"/>
      <c r="AA316" s="6"/>
      <c r="AB316" s="6"/>
      <c r="AD316" s="6"/>
      <c r="AE316" s="16"/>
      <c r="AF316" t="str">
        <f t="shared" si="0"/>
        <v/>
      </c>
    </row>
    <row r="317" spans="1:37">
      <c r="A317" s="6">
        <v>292</v>
      </c>
      <c r="B317" s="6" t="s">
        <v>2815</v>
      </c>
      <c r="C317" s="6" t="s">
        <v>2816</v>
      </c>
      <c r="D317" s="6" t="s">
        <v>2817</v>
      </c>
      <c r="E317" s="12" t="s">
        <v>2818</v>
      </c>
      <c r="F317" s="6" t="s">
        <v>38</v>
      </c>
      <c r="G317" s="11">
        <v>2016</v>
      </c>
      <c r="H317" s="6"/>
      <c r="I317" s="13" t="str">
        <f>HYPERLINK("http://www.pivovarradobycice.cz","http://www.pivovarradobycice.cz")</f>
        <v>http://www.pivovarradobycice.cz</v>
      </c>
      <c r="J317" s="13" t="str">
        <f>HYPERLINK("https://www.facebook.com/minipivovarradobycice","https://www.facebook.com/minipivovarradobycice")</f>
        <v>https://www.facebook.com/minipivovarradobycice</v>
      </c>
      <c r="K317" s="6" t="s">
        <v>2819</v>
      </c>
      <c r="L317" s="6"/>
      <c r="M317" s="6" t="s">
        <v>2820</v>
      </c>
      <c r="N317" s="6"/>
      <c r="O317" s="6" t="s">
        <v>2821</v>
      </c>
      <c r="P317" s="6"/>
      <c r="Q317" s="6"/>
      <c r="R317" s="12" t="s">
        <v>2822</v>
      </c>
      <c r="S317" s="12">
        <v>49.696173299999998</v>
      </c>
      <c r="T317" s="12">
        <v>13.3996028</v>
      </c>
      <c r="U317" s="6"/>
      <c r="V317" s="6"/>
      <c r="W317" s="6"/>
      <c r="X317" s="6"/>
      <c r="Y317" s="6"/>
      <c r="Z317" s="6"/>
      <c r="AA317" s="6"/>
      <c r="AB317" s="6"/>
      <c r="AD317" s="6"/>
      <c r="AE317" s="16"/>
      <c r="AF317" t="str">
        <f t="shared" si="0"/>
        <v/>
      </c>
    </row>
    <row r="318" spans="1:37">
      <c r="A318" s="6">
        <v>293</v>
      </c>
      <c r="B318" s="6" t="s">
        <v>2823</v>
      </c>
      <c r="C318" s="6" t="s">
        <v>2824</v>
      </c>
      <c r="D318" s="6" t="s">
        <v>2825</v>
      </c>
      <c r="E318" s="12" t="s">
        <v>2826</v>
      </c>
      <c r="F318" s="6" t="s">
        <v>73</v>
      </c>
      <c r="G318" s="11">
        <v>2016</v>
      </c>
      <c r="H318" s="6"/>
      <c r="I318" s="13" t="str">
        <f>HYPERLINK("http://www.cernymedved.cz","http://www.cernymedved.cz")</f>
        <v>http://www.cernymedved.cz</v>
      </c>
      <c r="J318" s="13" t="str">
        <f>HYPERLINK("https://www.facebook.com/Hotel-Pivovar-Restaurace-U-%C4%8Cern%C3%A9ho-medv%C4%9Bda-1576942145930433","https://www.facebook.com/Hotel-Pivovar-Restaurace-U-%C4%8Cern%C3%A9ho-medv%C4%9Bda-1576942145930433")</f>
        <v>https://www.facebook.com/Hotel-Pivovar-Restaurace-U-%C4%8Cern%C3%A9ho-medv%C4%9Bda-1576942145930433</v>
      </c>
      <c r="K318" s="6" t="s">
        <v>2827</v>
      </c>
      <c r="L318" s="6"/>
      <c r="M318" s="6" t="s">
        <v>2828</v>
      </c>
      <c r="N318" s="6"/>
      <c r="O318" s="6" t="s">
        <v>2829</v>
      </c>
      <c r="P318" s="6"/>
      <c r="Q318" s="15" t="s">
        <v>2830</v>
      </c>
      <c r="R318" s="6" t="s">
        <v>2831</v>
      </c>
      <c r="S318" s="6">
        <v>50.030217</v>
      </c>
      <c r="T318" s="6">
        <v>16.600075</v>
      </c>
      <c r="U318" s="6"/>
      <c r="V318" s="6"/>
      <c r="W318" s="6"/>
      <c r="X318" s="6"/>
      <c r="Y318" s="6"/>
      <c r="Z318" s="6"/>
      <c r="AA318" s="6"/>
      <c r="AB318" s="6" t="s">
        <v>47</v>
      </c>
      <c r="AD318" s="6" t="s">
        <v>47</v>
      </c>
      <c r="AE318" s="17" t="s">
        <v>47</v>
      </c>
      <c r="AF318" t="str">
        <f t="shared" si="0"/>
        <v>ANO</v>
      </c>
    </row>
    <row r="319" spans="1:37">
      <c r="A319" s="6">
        <v>294</v>
      </c>
      <c r="B319" s="6" t="s">
        <v>2832</v>
      </c>
      <c r="C319" s="6" t="s">
        <v>2833</v>
      </c>
      <c r="D319" s="6" t="s">
        <v>2834</v>
      </c>
      <c r="E319" s="12" t="s">
        <v>2835</v>
      </c>
      <c r="F319" s="6" t="s">
        <v>73</v>
      </c>
      <c r="G319" s="11">
        <v>2016</v>
      </c>
      <c r="H319" s="6"/>
      <c r="I319" s="13" t="str">
        <f>HYPERLINK("http://pivovarzlosin.cz","http://pivovarzlosin.cz")</f>
        <v>http://pivovarzlosin.cz</v>
      </c>
      <c r="J319" s="13" t="str">
        <f>HYPERLINK("https://www.facebook.com/pivovarzlosin","https://www.facebook.com/pivovarzlosin")</f>
        <v>https://www.facebook.com/pivovarzlosin</v>
      </c>
      <c r="K319" s="6" t="s">
        <v>2836</v>
      </c>
      <c r="L319" s="6"/>
      <c r="M319" s="6"/>
      <c r="N319" s="6"/>
      <c r="O319" s="6" t="s">
        <v>2832</v>
      </c>
      <c r="P319" s="6"/>
      <c r="Q319" s="15" t="s">
        <v>2837</v>
      </c>
      <c r="R319" s="6" t="s">
        <v>2838</v>
      </c>
      <c r="S319" s="6">
        <v>50.033611000000001</v>
      </c>
      <c r="T319" s="6">
        <v>17.027987</v>
      </c>
      <c r="U319" s="6"/>
      <c r="V319" s="6"/>
      <c r="W319" s="6"/>
      <c r="X319" s="6"/>
      <c r="Y319" s="6"/>
      <c r="Z319" s="6"/>
      <c r="AA319" s="6"/>
      <c r="AB319" s="6" t="s">
        <v>47</v>
      </c>
      <c r="AD319" s="6" t="s">
        <v>47</v>
      </c>
      <c r="AE319" s="17" t="s">
        <v>47</v>
      </c>
      <c r="AF319" t="str">
        <f t="shared" si="0"/>
        <v>ANO</v>
      </c>
    </row>
    <row r="320" spans="1:37">
      <c r="A320" s="6">
        <v>295</v>
      </c>
      <c r="B320" s="6" t="s">
        <v>2839</v>
      </c>
      <c r="C320" s="6" t="s">
        <v>2840</v>
      </c>
      <c r="D320" s="6" t="s">
        <v>2841</v>
      </c>
      <c r="E320" s="12" t="s">
        <v>2841</v>
      </c>
      <c r="F320" s="6" t="s">
        <v>57</v>
      </c>
      <c r="G320" s="11">
        <v>2016</v>
      </c>
      <c r="H320" s="6"/>
      <c r="I320" s="13" t="str">
        <f>HYPERLINK("http://pivovarzahora.cz","http://pivovarzahora.cz")</f>
        <v>http://pivovarzahora.cz</v>
      </c>
      <c r="J320" s="13" t="str">
        <f>HYPERLINK("https://www.facebook.com/pivovarzahora","https://www.facebook.com/pivovarzahora")</f>
        <v>https://www.facebook.com/pivovarzahora</v>
      </c>
      <c r="K320" s="6" t="s">
        <v>2842</v>
      </c>
      <c r="L320" s="6"/>
      <c r="M320" s="6" t="s">
        <v>2843</v>
      </c>
      <c r="N320" s="6"/>
      <c r="O320" s="6" t="s">
        <v>2839</v>
      </c>
      <c r="P320" s="6"/>
      <c r="Q320" s="15" t="s">
        <v>2844</v>
      </c>
      <c r="R320" s="6" t="s">
        <v>2845</v>
      </c>
      <c r="S320" s="6">
        <v>50.174802999999898</v>
      </c>
      <c r="T320" s="6">
        <v>15.348383</v>
      </c>
      <c r="U320" s="6"/>
      <c r="V320" s="6"/>
      <c r="W320" s="6"/>
      <c r="X320" s="6"/>
      <c r="Y320" s="6"/>
      <c r="Z320" s="6"/>
      <c r="AA320" s="6"/>
      <c r="AB320" s="6"/>
      <c r="AD320" s="6" t="s">
        <v>47</v>
      </c>
      <c r="AE320" s="17" t="s">
        <v>47</v>
      </c>
      <c r="AF320" t="str">
        <f t="shared" si="0"/>
        <v>ANO</v>
      </c>
    </row>
    <row r="321" spans="1:37">
      <c r="A321" s="6">
        <v>296</v>
      </c>
      <c r="B321" s="6" t="s">
        <v>2846</v>
      </c>
      <c r="C321" s="6" t="s">
        <v>2847</v>
      </c>
      <c r="D321" s="6" t="s">
        <v>2848</v>
      </c>
      <c r="E321" s="12" t="s">
        <v>2849</v>
      </c>
      <c r="F321" s="6" t="s">
        <v>57</v>
      </c>
      <c r="G321" s="11">
        <v>2016</v>
      </c>
      <c r="H321" s="6"/>
      <c r="I321" s="13" t="str">
        <f>HYPERLINK("http://www.zahlinickypivovar.cz","http://www.zahlinickypivovar.cz")</f>
        <v>http://www.zahlinickypivovar.cz</v>
      </c>
      <c r="J321" s="13" t="str">
        <f>HYPERLINK("https://www.facebook.com/PivovarZahlinice","https://www.facebook.com/PivovarZahlinice")</f>
        <v>https://www.facebook.com/PivovarZahlinice</v>
      </c>
      <c r="K321" s="6" t="s">
        <v>2850</v>
      </c>
      <c r="L321" s="6"/>
      <c r="M321" s="6" t="s">
        <v>2851</v>
      </c>
      <c r="N321" s="6"/>
      <c r="O321" s="6" t="s">
        <v>2852</v>
      </c>
      <c r="P321" s="6"/>
      <c r="Q321" s="6"/>
      <c r="R321" s="6" t="s">
        <v>2853</v>
      </c>
      <c r="S321" s="6">
        <v>49.289147999999898</v>
      </c>
      <c r="T321" s="6">
        <v>17.4904809999999</v>
      </c>
      <c r="U321" s="6"/>
      <c r="V321" s="6"/>
      <c r="W321" s="6"/>
      <c r="X321" s="6"/>
      <c r="Y321" s="6"/>
      <c r="Z321" s="6"/>
      <c r="AA321" s="6"/>
      <c r="AB321" s="6"/>
      <c r="AD321" s="6"/>
      <c r="AE321" s="16"/>
      <c r="AF321" t="str">
        <f t="shared" si="0"/>
        <v/>
      </c>
    </row>
    <row r="322" spans="1:37">
      <c r="A322" s="6">
        <v>297</v>
      </c>
      <c r="B322" s="6" t="s">
        <v>2854</v>
      </c>
      <c r="C322" s="6" t="s">
        <v>2855</v>
      </c>
      <c r="D322" s="6" t="s">
        <v>2856</v>
      </c>
      <c r="E322" s="12" t="s">
        <v>2857</v>
      </c>
      <c r="F322" s="6" t="s">
        <v>73</v>
      </c>
      <c r="G322" s="11">
        <v>2016</v>
      </c>
      <c r="H322" s="6"/>
      <c r="I322" s="6"/>
      <c r="J322" s="13" t="str">
        <f>HYPERLINK("https://www.facebook.com/kasperskohorskypivovar","https://www.facebook.com/kasperskohorskypivovar")</f>
        <v>https://www.facebook.com/kasperskohorskypivovar</v>
      </c>
      <c r="K322" s="6" t="s">
        <v>2859</v>
      </c>
      <c r="L322" s="6"/>
      <c r="M322" s="6" t="s">
        <v>2860</v>
      </c>
      <c r="N322" s="6"/>
      <c r="O322" s="6" t="s">
        <v>2861</v>
      </c>
      <c r="P322" s="6"/>
      <c r="Q322" s="6"/>
      <c r="R322" s="6" t="s">
        <v>2862</v>
      </c>
      <c r="S322" s="6">
        <v>49.144257000000003</v>
      </c>
      <c r="T322" s="6">
        <v>13.5553139999999</v>
      </c>
      <c r="U322" s="6"/>
      <c r="V322" s="6"/>
      <c r="W322" s="6"/>
      <c r="X322" s="6"/>
      <c r="Y322" s="6"/>
      <c r="Z322" s="6"/>
      <c r="AA322" s="6"/>
      <c r="AB322" s="6"/>
      <c r="AD322" s="6"/>
      <c r="AE322" s="16"/>
      <c r="AF322" t="str">
        <f t="shared" si="0"/>
        <v/>
      </c>
    </row>
    <row r="323" spans="1:37">
      <c r="A323" s="19">
        <v>297</v>
      </c>
      <c r="B323" s="20" t="s">
        <v>2863</v>
      </c>
      <c r="C323" s="20" t="s">
        <v>2864</v>
      </c>
      <c r="D323" s="16" t="s">
        <v>2865</v>
      </c>
      <c r="E323" s="23" t="s">
        <v>2866</v>
      </c>
      <c r="F323" s="20" t="s">
        <v>113</v>
      </c>
      <c r="G323" s="24">
        <v>2013.2014999999999</v>
      </c>
      <c r="H323" s="20"/>
      <c r="I323" s="20"/>
      <c r="J323" s="16" t="s">
        <v>2867</v>
      </c>
      <c r="K323" s="26" t="s">
        <v>2868</v>
      </c>
      <c r="L323" s="20"/>
      <c r="M323" s="16" t="s">
        <v>2869</v>
      </c>
      <c r="N323" s="20"/>
      <c r="O323" s="16" t="s">
        <v>2870</v>
      </c>
      <c r="P323" s="20"/>
      <c r="Q323" s="20"/>
      <c r="R323" s="20" t="s">
        <v>2871</v>
      </c>
      <c r="S323" s="19">
        <v>49.476925999999899</v>
      </c>
      <c r="T323" s="19">
        <v>17.136313000000001</v>
      </c>
      <c r="U323" s="20"/>
      <c r="V323" s="20"/>
      <c r="W323" s="20"/>
      <c r="X323" s="20"/>
      <c r="Y323" s="20"/>
      <c r="Z323" s="20"/>
      <c r="AA323" s="20"/>
      <c r="AB323" s="20"/>
      <c r="AC323" s="20"/>
      <c r="AD323" s="20"/>
      <c r="AE323" s="20"/>
      <c r="AF323" t="str">
        <f t="shared" si="0"/>
        <v/>
      </c>
      <c r="AG323" s="20"/>
      <c r="AH323" s="20"/>
      <c r="AI323" s="20"/>
      <c r="AJ323" s="20"/>
      <c r="AK323" s="20"/>
    </row>
    <row r="324" spans="1:37">
      <c r="A324" s="6">
        <v>298</v>
      </c>
      <c r="B324" s="6" t="s">
        <v>2872</v>
      </c>
      <c r="C324" s="6" t="s">
        <v>2873</v>
      </c>
      <c r="D324" s="6" t="s">
        <v>2874</v>
      </c>
      <c r="E324" s="12" t="s">
        <v>2875</v>
      </c>
      <c r="F324" s="6" t="s">
        <v>73</v>
      </c>
      <c r="G324" s="11">
        <v>2016</v>
      </c>
      <c r="H324" s="6"/>
      <c r="I324" s="39"/>
      <c r="J324" s="13" t="str">
        <f>HYPERLINK("https://www.facebook.com/svatojakubskypivovar","https://www.facebook.com/svatojakubskypivovar")</f>
        <v>https://www.facebook.com/svatojakubskypivovar</v>
      </c>
      <c r="K324" s="6" t="s">
        <v>2876</v>
      </c>
      <c r="L324" s="6"/>
      <c r="M324" s="6" t="s">
        <v>2877</v>
      </c>
      <c r="N324" s="6"/>
      <c r="O324" s="6" t="s">
        <v>2878</v>
      </c>
      <c r="P324" s="6"/>
      <c r="Q324" s="6"/>
      <c r="R324" s="6" t="s">
        <v>2879</v>
      </c>
      <c r="S324" s="6">
        <v>49.225123000000004</v>
      </c>
      <c r="T324" s="6">
        <v>16.230013</v>
      </c>
      <c r="U324" s="6"/>
      <c r="V324" s="6"/>
      <c r="W324" s="6"/>
      <c r="X324" s="6"/>
      <c r="Y324" s="6"/>
      <c r="Z324" s="6"/>
      <c r="AA324" s="6"/>
      <c r="AB324" s="6"/>
      <c r="AC324" s="9" t="s">
        <v>47</v>
      </c>
      <c r="AD324" s="6"/>
      <c r="AE324" s="16"/>
      <c r="AF324" t="str">
        <f t="shared" si="0"/>
        <v>ANO</v>
      </c>
    </row>
    <row r="325" spans="1:37">
      <c r="A325" s="6">
        <v>299</v>
      </c>
      <c r="B325" s="6" t="s">
        <v>2880</v>
      </c>
      <c r="C325" s="6" t="s">
        <v>2881</v>
      </c>
      <c r="D325" s="6" t="s">
        <v>2880</v>
      </c>
      <c r="E325" s="12" t="s">
        <v>2882</v>
      </c>
      <c r="F325" s="6" t="s">
        <v>57</v>
      </c>
      <c r="G325" s="11">
        <v>2016</v>
      </c>
      <c r="H325" s="6">
        <v>2200</v>
      </c>
      <c r="I325" s="13" t="str">
        <f>HYPERLINK("http://www.liquib.cz","http://www.liquib.cz")</f>
        <v>http://www.liquib.cz</v>
      </c>
      <c r="J325" s="13" t="str">
        <f>HYPERLINK("https://www.facebook.com/CastleDistilleryBrewery","https://www.facebook.com/CastleDistilleryBrewery")</f>
        <v>https://www.facebook.com/CastleDistilleryBrewery</v>
      </c>
      <c r="K325" s="6" t="s">
        <v>2883</v>
      </c>
      <c r="L325" s="6"/>
      <c r="M325" s="6" t="s">
        <v>2884</v>
      </c>
      <c r="N325" s="6"/>
      <c r="O325" s="6" t="s">
        <v>2885</v>
      </c>
      <c r="P325" s="6"/>
      <c r="Q325" s="6"/>
      <c r="R325" s="6" t="s">
        <v>2886</v>
      </c>
      <c r="S325" s="6">
        <v>49.420938999999898</v>
      </c>
      <c r="T325" s="6">
        <v>13.878226</v>
      </c>
      <c r="U325" s="6"/>
      <c r="V325" s="6"/>
      <c r="W325" s="6"/>
      <c r="X325" s="6"/>
      <c r="Y325" s="6"/>
      <c r="Z325" s="6"/>
      <c r="AA325" s="6"/>
      <c r="AB325" s="6"/>
      <c r="AD325" s="6"/>
      <c r="AE325" s="16"/>
      <c r="AF325" t="str">
        <f t="shared" si="0"/>
        <v/>
      </c>
    </row>
    <row r="326" spans="1:37">
      <c r="A326" s="6">
        <v>300</v>
      </c>
      <c r="B326" s="6" t="s">
        <v>2887</v>
      </c>
      <c r="C326" s="6" t="s">
        <v>2888</v>
      </c>
      <c r="D326" s="6" t="s">
        <v>2889</v>
      </c>
      <c r="E326" s="12" t="s">
        <v>2890</v>
      </c>
      <c r="F326" s="6" t="s">
        <v>57</v>
      </c>
      <c r="G326" s="11">
        <v>2016</v>
      </c>
      <c r="H326" s="6">
        <v>18</v>
      </c>
      <c r="I326" s="13" t="str">
        <f>HYPERLINK("http://www.pmpivovary.cz","http://www.pmpivovary.cz")</f>
        <v>http://www.pmpivovary.cz</v>
      </c>
      <c r="J326" s="13" t="str">
        <f>HYPERLINK("https://www.facebook.com/Loužek-160850301104935","https://www.facebook.com/Loužek-160850301104935")</f>
        <v>https://www.facebook.com/Loužek-160850301104935</v>
      </c>
      <c r="K326" s="6" t="s">
        <v>2891</v>
      </c>
      <c r="L326" s="6"/>
      <c r="M326" s="6" t="s">
        <v>2892</v>
      </c>
      <c r="N326" s="6" t="s">
        <v>2893</v>
      </c>
      <c r="O326" s="6" t="s">
        <v>2887</v>
      </c>
      <c r="P326" s="6"/>
      <c r="Q326" s="6"/>
      <c r="R326" s="6" t="s">
        <v>2894</v>
      </c>
      <c r="S326" s="6">
        <v>49.726677000000002</v>
      </c>
      <c r="T326" s="6">
        <v>13.61842</v>
      </c>
      <c r="U326" s="6"/>
      <c r="V326" s="6"/>
      <c r="W326" s="6"/>
      <c r="X326" s="6"/>
      <c r="Y326" s="6"/>
      <c r="Z326" s="6"/>
      <c r="AA326" s="6"/>
      <c r="AB326" s="6"/>
      <c r="AD326" s="6"/>
      <c r="AE326" s="16"/>
      <c r="AF326" t="str">
        <f t="shared" si="0"/>
        <v/>
      </c>
    </row>
    <row r="327" spans="1:37">
      <c r="A327" s="6">
        <v>301</v>
      </c>
      <c r="B327" s="6" t="s">
        <v>2895</v>
      </c>
      <c r="C327" s="6" t="s">
        <v>2896</v>
      </c>
      <c r="D327" s="6" t="s">
        <v>2897</v>
      </c>
      <c r="E327" s="12" t="s">
        <v>2898</v>
      </c>
      <c r="F327" s="6" t="s">
        <v>38</v>
      </c>
      <c r="G327" s="11">
        <v>2016</v>
      </c>
      <c r="H327" s="6"/>
      <c r="I327" s="13" t="str">
        <f>HYPERLINK("http://www.novejsvet.cz","http://www.novejsvet.cz")</f>
        <v>http://www.novejsvet.cz</v>
      </c>
      <c r="J327" s="13" t="str">
        <f>HYPERLINK("https://www.facebook.com/novejsvet","https://www.facebook.com/novejsvet")</f>
        <v>https://www.facebook.com/novejsvet</v>
      </c>
      <c r="K327" s="6" t="s">
        <v>2899</v>
      </c>
      <c r="L327" s="6"/>
      <c r="M327" s="6" t="s">
        <v>2900</v>
      </c>
      <c r="N327" s="6" t="s">
        <v>2901</v>
      </c>
      <c r="O327" s="6" t="s">
        <v>2895</v>
      </c>
      <c r="P327" s="6"/>
      <c r="Q327" s="15" t="s">
        <v>2902</v>
      </c>
      <c r="R327" s="6" t="s">
        <v>2903</v>
      </c>
      <c r="S327" s="6">
        <v>50.29222</v>
      </c>
      <c r="T327" s="6">
        <v>14.622377</v>
      </c>
      <c r="U327" s="6"/>
      <c r="V327" s="6"/>
      <c r="W327" s="6"/>
      <c r="X327" s="6"/>
      <c r="Y327" s="6"/>
      <c r="Z327" s="6"/>
      <c r="AA327" s="6" t="s">
        <v>47</v>
      </c>
      <c r="AB327" s="6"/>
      <c r="AD327" s="6"/>
      <c r="AE327" s="17" t="s">
        <v>47</v>
      </c>
      <c r="AF327" t="str">
        <f t="shared" si="0"/>
        <v>ANO</v>
      </c>
    </row>
    <row r="328" spans="1:37">
      <c r="A328" s="6">
        <v>302</v>
      </c>
      <c r="B328" s="6" t="s">
        <v>2904</v>
      </c>
      <c r="C328" s="6" t="s">
        <v>2905</v>
      </c>
      <c r="D328" s="6" t="s">
        <v>2906</v>
      </c>
      <c r="E328" s="12" t="s">
        <v>2907</v>
      </c>
      <c r="F328" s="6" t="s">
        <v>38</v>
      </c>
      <c r="G328" s="11">
        <v>2016</v>
      </c>
      <c r="H328" s="6"/>
      <c r="I328" s="13" t="str">
        <f>HYPERLINK("http://www.kaberna.cz","http://www.kaberna.cz")</f>
        <v>http://www.kaberna.cz</v>
      </c>
      <c r="J328" s="13" t="str">
        <f>HYPERLINK("https://www.facebook.com/Kaberna-656892784459287","https://www.facebook.com/Kaberna-656892784459287")</f>
        <v>https://www.facebook.com/Kaberna-656892784459287</v>
      </c>
      <c r="K328" s="6" t="s">
        <v>2908</v>
      </c>
      <c r="L328" s="6"/>
      <c r="M328" s="6" t="s">
        <v>2909</v>
      </c>
      <c r="N328" s="6"/>
      <c r="O328" s="6" t="s">
        <v>2910</v>
      </c>
      <c r="P328" s="6" t="s">
        <v>2911</v>
      </c>
      <c r="Q328" s="6"/>
      <c r="R328" s="6" t="s">
        <v>2912</v>
      </c>
      <c r="S328" s="6">
        <v>50.262073600000001</v>
      </c>
      <c r="T328" s="6">
        <v>14.534883600000001</v>
      </c>
      <c r="U328" s="6"/>
      <c r="V328" s="6"/>
      <c r="W328" s="6"/>
      <c r="X328" s="6"/>
      <c r="Y328" s="6"/>
      <c r="Z328" s="6"/>
      <c r="AA328" s="6"/>
      <c r="AB328" s="6"/>
      <c r="AD328" s="6"/>
      <c r="AE328" s="16"/>
      <c r="AF328" t="str">
        <f t="shared" si="0"/>
        <v/>
      </c>
    </row>
    <row r="329" spans="1:37">
      <c r="A329" s="6">
        <v>303</v>
      </c>
      <c r="B329" s="6" t="s">
        <v>2913</v>
      </c>
      <c r="C329" s="6" t="s">
        <v>2914</v>
      </c>
      <c r="D329" s="6" t="s">
        <v>227</v>
      </c>
      <c r="E329" s="12" t="s">
        <v>2915</v>
      </c>
      <c r="F329" s="6" t="s">
        <v>73</v>
      </c>
      <c r="G329" s="11">
        <v>2016</v>
      </c>
      <c r="H329" s="6"/>
      <c r="I329" s="13" t="str">
        <f>HYPERLINK("http://www.restauracenactyrce.cz","http://www.restauracenactyrce.cz")</f>
        <v>http://www.restauracenactyrce.cz</v>
      </c>
      <c r="J329" s="6"/>
      <c r="K329" s="6" t="s">
        <v>2916</v>
      </c>
      <c r="L329" s="6"/>
      <c r="M329" s="6" t="s">
        <v>2917</v>
      </c>
      <c r="N329" s="6"/>
      <c r="O329" s="6" t="s">
        <v>2918</v>
      </c>
      <c r="P329" s="6"/>
      <c r="Q329" s="15" t="s">
        <v>2919</v>
      </c>
      <c r="R329" s="6" t="s">
        <v>2920</v>
      </c>
      <c r="S329" s="6">
        <v>49.431294999999899</v>
      </c>
      <c r="T329" s="6">
        <v>15.222809</v>
      </c>
      <c r="U329" s="6"/>
      <c r="V329" s="6"/>
      <c r="W329" s="6"/>
      <c r="X329" s="6"/>
      <c r="Y329" s="6"/>
      <c r="Z329" s="6"/>
      <c r="AA329" s="6" t="s">
        <v>47</v>
      </c>
      <c r="AB329" s="6"/>
      <c r="AD329" s="6"/>
      <c r="AE329" s="17" t="s">
        <v>47</v>
      </c>
      <c r="AF329" t="str">
        <f t="shared" si="0"/>
        <v>ANO</v>
      </c>
    </row>
    <row r="330" spans="1:37">
      <c r="A330" s="6">
        <v>304</v>
      </c>
      <c r="B330" s="6" t="s">
        <v>2921</v>
      </c>
      <c r="C330" s="6" t="s">
        <v>2921</v>
      </c>
      <c r="D330" s="6" t="s">
        <v>564</v>
      </c>
      <c r="E330" s="12" t="s">
        <v>2922</v>
      </c>
      <c r="F330" s="6" t="s">
        <v>57</v>
      </c>
      <c r="G330" s="11">
        <v>2016</v>
      </c>
      <c r="H330" s="6">
        <v>550</v>
      </c>
      <c r="I330" s="13" t="str">
        <f>HYPERLINK("http://www.revolta.beer","http://www.revolta.beer")</f>
        <v>http://www.revolta.beer</v>
      </c>
      <c r="J330" s="13" t="str">
        <f>HYPERLINK("https://www.facebook.com/revoltabeer","https://www.facebook.com/revoltabeer")</f>
        <v>https://www.facebook.com/revoltabeer</v>
      </c>
      <c r="K330" s="6" t="s">
        <v>2923</v>
      </c>
      <c r="L330" s="6"/>
      <c r="M330" s="6" t="s">
        <v>2924</v>
      </c>
      <c r="N330" s="6"/>
      <c r="O330" s="6" t="s">
        <v>2925</v>
      </c>
      <c r="P330" s="6" t="s">
        <v>2926</v>
      </c>
      <c r="Q330" s="6"/>
      <c r="R330" s="6" t="s">
        <v>2927</v>
      </c>
      <c r="S330" s="6">
        <v>49.562024399999999</v>
      </c>
      <c r="T330" s="6">
        <v>15.9390325</v>
      </c>
      <c r="U330" s="6"/>
      <c r="V330" s="6"/>
      <c r="W330" s="6"/>
      <c r="X330" s="6"/>
      <c r="Y330" s="6"/>
      <c r="Z330" s="6"/>
      <c r="AA330" s="6"/>
      <c r="AB330" s="6"/>
      <c r="AD330" s="6"/>
      <c r="AE330" s="16"/>
      <c r="AF330" t="str">
        <f t="shared" si="0"/>
        <v/>
      </c>
    </row>
    <row r="331" spans="1:37">
      <c r="A331" s="6">
        <v>305</v>
      </c>
      <c r="B331" s="6" t="s">
        <v>2928</v>
      </c>
      <c r="C331" s="6" t="s">
        <v>2929</v>
      </c>
      <c r="D331" s="6" t="s">
        <v>1326</v>
      </c>
      <c r="E331" s="12" t="s">
        <v>2930</v>
      </c>
      <c r="F331" s="6" t="s">
        <v>38</v>
      </c>
      <c r="G331" s="11">
        <v>2016</v>
      </c>
      <c r="H331" s="6"/>
      <c r="I331" s="13" t="str">
        <f>HYPERLINK("http://www.zabreh-pivovar.cz","http://www.zabreh-pivovar.cz")</f>
        <v>http://www.zabreh-pivovar.cz</v>
      </c>
      <c r="J331" s="13" t="str">
        <f>HYPERLINK("https://www.facebook.com/Pivovar-Welzl-Z%C3%A1b%C5%99eh-1098803103543316","https://www.facebook.com/Pivovar-Welzl-Z%C3%A1b%C5%99eh-1098803103543316")</f>
        <v>https://www.facebook.com/Pivovar-Welzl-Z%C3%A1b%C5%99eh-1098803103543316</v>
      </c>
      <c r="K331" s="6" t="s">
        <v>2931</v>
      </c>
      <c r="L331" s="6"/>
      <c r="M331" s="6" t="s">
        <v>2932</v>
      </c>
      <c r="N331" s="6"/>
      <c r="O331" s="6" t="s">
        <v>2928</v>
      </c>
      <c r="P331" s="6"/>
      <c r="Q331" s="15" t="s">
        <v>2933</v>
      </c>
      <c r="R331" s="6" t="s">
        <v>2934</v>
      </c>
      <c r="S331" s="6">
        <v>49.887987000000003</v>
      </c>
      <c r="T331" s="6">
        <v>16.860980999999899</v>
      </c>
      <c r="U331" s="6"/>
      <c r="V331" s="6"/>
      <c r="W331" s="6"/>
      <c r="X331" s="6"/>
      <c r="Y331" s="6"/>
      <c r="Z331" s="6"/>
      <c r="AA331" s="6"/>
      <c r="AB331" s="6" t="s">
        <v>47</v>
      </c>
      <c r="AC331" s="9" t="s">
        <v>47</v>
      </c>
      <c r="AD331" s="6"/>
      <c r="AE331" s="17" t="s">
        <v>47</v>
      </c>
      <c r="AF331" t="str">
        <f t="shared" si="0"/>
        <v>ANO</v>
      </c>
    </row>
    <row r="332" spans="1:37">
      <c r="A332" s="6">
        <v>306</v>
      </c>
      <c r="B332" s="6" t="s">
        <v>2936</v>
      </c>
      <c r="C332" s="6" t="s">
        <v>2937</v>
      </c>
      <c r="D332" s="6" t="s">
        <v>953</v>
      </c>
      <c r="E332" s="12" t="s">
        <v>2938</v>
      </c>
      <c r="F332" s="6" t="s">
        <v>57</v>
      </c>
      <c r="G332" s="11">
        <v>2016</v>
      </c>
      <c r="H332" s="6">
        <v>1000</v>
      </c>
      <c r="I332" s="13" t="str">
        <f>HYPERLINK("http://pivovar-kvetnice.cz","http://pivovar-kvetnice.cz")</f>
        <v>http://pivovar-kvetnice.cz</v>
      </c>
      <c r="J332" s="13" t="str">
        <f>HYPERLINK("https://www.facebook.com/Pivovar-Kv%C4%9Btnice-250524941979151","https://www.facebook.com/Pivovar-Kv%C4%9Btnice-250524941979151")</f>
        <v>https://www.facebook.com/Pivovar-Kv%C4%9Btnice-250524941979151</v>
      </c>
      <c r="K332" s="6" t="s">
        <v>2939</v>
      </c>
      <c r="L332" s="6"/>
      <c r="M332" s="6" t="s">
        <v>2940</v>
      </c>
      <c r="N332" s="6"/>
      <c r="O332" s="6" t="s">
        <v>2936</v>
      </c>
      <c r="P332" s="6"/>
      <c r="Q332" s="15" t="s">
        <v>2941</v>
      </c>
      <c r="R332" s="6" t="s">
        <v>2942</v>
      </c>
      <c r="S332" s="6">
        <v>49.342042200000002</v>
      </c>
      <c r="T332" s="6">
        <v>16.435328899999998</v>
      </c>
      <c r="U332" s="6"/>
      <c r="V332" s="6"/>
      <c r="W332" s="6"/>
      <c r="X332" s="6"/>
      <c r="Y332" s="6"/>
      <c r="Z332" s="6"/>
      <c r="AA332" s="6"/>
      <c r="AB332" s="6"/>
      <c r="AC332" s="9" t="s">
        <v>47</v>
      </c>
      <c r="AD332" s="6"/>
      <c r="AE332" s="17" t="s">
        <v>47</v>
      </c>
      <c r="AF332" t="str">
        <f t="shared" si="0"/>
        <v>ANO</v>
      </c>
    </row>
    <row r="333" spans="1:37">
      <c r="A333" s="6">
        <v>307</v>
      </c>
      <c r="B333" s="6" t="s">
        <v>2943</v>
      </c>
      <c r="C333" s="6" t="s">
        <v>2944</v>
      </c>
      <c r="D333" s="6" t="s">
        <v>2945</v>
      </c>
      <c r="E333" s="12" t="s">
        <v>2946</v>
      </c>
      <c r="F333" s="6" t="s">
        <v>73</v>
      </c>
      <c r="G333" s="11">
        <v>2016</v>
      </c>
      <c r="H333" s="6">
        <v>400</v>
      </c>
      <c r="I333" s="13" t="str">
        <f>HYPERLINK("http://www.nalochkove.cz","http://www.nalochkove.cz")</f>
        <v>http://www.nalochkove.cz</v>
      </c>
      <c r="J333" s="13" t="str">
        <f>HYPERLINK("https://www.facebook.com/nalochkove","https://www.facebook.com/nalochkove")</f>
        <v>https://www.facebook.com/nalochkove</v>
      </c>
      <c r="K333" s="6" t="s">
        <v>2948</v>
      </c>
      <c r="L333" s="6"/>
      <c r="M333" s="6" t="s">
        <v>2949</v>
      </c>
      <c r="N333" s="6"/>
      <c r="O333" s="6" t="s">
        <v>2950</v>
      </c>
      <c r="P333" s="6"/>
      <c r="Q333" s="6"/>
      <c r="R333" s="6" t="s">
        <v>2951</v>
      </c>
      <c r="S333" s="6">
        <v>50.002702999999897</v>
      </c>
      <c r="T333" s="6">
        <v>14.354853</v>
      </c>
      <c r="U333" s="6"/>
      <c r="V333" s="6"/>
      <c r="W333" s="6"/>
      <c r="X333" s="6"/>
      <c r="Y333" s="6"/>
      <c r="Z333" s="6"/>
      <c r="AA333" s="6"/>
      <c r="AB333" s="6"/>
      <c r="AD333" s="6"/>
      <c r="AE333" s="17" t="s">
        <v>47</v>
      </c>
      <c r="AF333" t="str">
        <f t="shared" si="0"/>
        <v>ANO</v>
      </c>
    </row>
    <row r="334" spans="1:37">
      <c r="A334" s="6">
        <v>308</v>
      </c>
      <c r="B334" s="6" t="s">
        <v>2953</v>
      </c>
      <c r="C334" s="6" t="s">
        <v>2954</v>
      </c>
      <c r="D334" s="6" t="s">
        <v>2955</v>
      </c>
      <c r="E334" s="12" t="s">
        <v>2956</v>
      </c>
      <c r="F334" s="6" t="s">
        <v>73</v>
      </c>
      <c r="G334" s="11">
        <v>2016</v>
      </c>
      <c r="H334" s="6"/>
      <c r="I334" s="13" t="str">
        <f>HYPERLINK("http://www.pddp.cz","http://www.pddp.cz")</f>
        <v>http://www.pddp.cz</v>
      </c>
      <c r="J334" s="13" t="str">
        <f>HYPERLINK("https://www.facebook.com/pocernickypivovar","https://www.facebook.com/pocernickypivovar")</f>
        <v>https://www.facebook.com/pocernickypivovar</v>
      </c>
      <c r="K334" s="6" t="s">
        <v>2957</v>
      </c>
      <c r="L334" s="6"/>
      <c r="M334" s="6" t="s">
        <v>2958</v>
      </c>
      <c r="N334" s="6"/>
      <c r="O334" s="6" t="s">
        <v>2953</v>
      </c>
      <c r="P334" s="6"/>
      <c r="Q334" s="6"/>
      <c r="R334" s="6" t="s">
        <v>2959</v>
      </c>
      <c r="S334" s="6">
        <v>50.0884059999999</v>
      </c>
      <c r="T334" s="6">
        <v>14.580873</v>
      </c>
      <c r="U334" s="6"/>
      <c r="V334" s="6"/>
      <c r="W334" s="6"/>
      <c r="X334" s="6"/>
      <c r="Y334" s="6"/>
      <c r="Z334" s="6"/>
      <c r="AA334" s="6"/>
      <c r="AB334" s="6"/>
      <c r="AD334" s="6"/>
      <c r="AE334" s="17" t="s">
        <v>47</v>
      </c>
      <c r="AF334" t="str">
        <f t="shared" si="0"/>
        <v>ANO</v>
      </c>
    </row>
    <row r="335" spans="1:37">
      <c r="A335" s="6">
        <v>309</v>
      </c>
      <c r="B335" s="6" t="s">
        <v>2960</v>
      </c>
      <c r="C335" s="6" t="s">
        <v>2961</v>
      </c>
      <c r="D335" s="6" t="s">
        <v>2962</v>
      </c>
      <c r="E335" s="12" t="s">
        <v>2963</v>
      </c>
      <c r="F335" s="6" t="s">
        <v>73</v>
      </c>
      <c r="G335" s="11">
        <v>2016</v>
      </c>
      <c r="H335" s="6"/>
      <c r="I335" s="13" t="str">
        <f>HYPERLINK("http://www.dvurperlovavoda.cz","http://www.dvurperlovavoda.cz")</f>
        <v>http://www.dvurperlovavoda.cz</v>
      </c>
      <c r="J335" s="13" t="str">
        <f>HYPERLINK("https://www.facebook.com/dvurperlovavoda","https://www.facebook.com/dvurperlovavoda")</f>
        <v>https://www.facebook.com/dvurperlovavoda</v>
      </c>
      <c r="K335" s="6" t="s">
        <v>2964</v>
      </c>
      <c r="L335" s="6"/>
      <c r="M335" s="6"/>
      <c r="N335" s="6"/>
      <c r="O335" s="6" t="s">
        <v>2965</v>
      </c>
      <c r="P335" s="6"/>
      <c r="Q335" s="6"/>
      <c r="R335" s="6" t="s">
        <v>2966</v>
      </c>
      <c r="S335" s="6">
        <v>50.395364000000001</v>
      </c>
      <c r="T335" s="6">
        <v>14.091494000000001</v>
      </c>
      <c r="U335" s="12"/>
      <c r="V335" s="6"/>
      <c r="W335" s="6"/>
      <c r="X335" s="12"/>
      <c r="Y335" s="6"/>
      <c r="Z335" s="6"/>
      <c r="AA335" s="6"/>
      <c r="AB335" s="6"/>
      <c r="AD335" s="6"/>
      <c r="AE335" s="16"/>
      <c r="AF335" t="str">
        <f t="shared" si="0"/>
        <v/>
      </c>
    </row>
    <row r="336" spans="1:37">
      <c r="A336" s="6">
        <v>310</v>
      </c>
      <c r="B336" s="6" t="s">
        <v>2967</v>
      </c>
      <c r="C336" s="6" t="s">
        <v>2968</v>
      </c>
      <c r="D336" s="6" t="s">
        <v>2969</v>
      </c>
      <c r="E336" s="12" t="s">
        <v>2970</v>
      </c>
      <c r="F336" s="6" t="s">
        <v>38</v>
      </c>
      <c r="G336" s="11">
        <v>2016</v>
      </c>
      <c r="H336" s="6"/>
      <c r="I336" s="13" t="str">
        <f>HYPERLINK("http://www.pivovar-millenium.cz","http://www.pivovar-millenium.cz")</f>
        <v>http://www.pivovar-millenium.cz</v>
      </c>
      <c r="J336" s="13" t="str">
        <f>HYPERLINK("https://www.facebook.com/people/Pivovar-Mill%C3%A9nium/100008386411859","https://www.facebook.com/people/Pivovar-Mill%C3%A9nium/100008386411859")</f>
        <v>https://www.facebook.com/people/Pivovar-Mill%C3%A9nium/100008386411859</v>
      </c>
      <c r="K336" s="6" t="s">
        <v>2971</v>
      </c>
      <c r="L336" s="6"/>
      <c r="M336" s="6" t="s">
        <v>2972</v>
      </c>
      <c r="N336" s="6"/>
      <c r="O336" s="6" t="s">
        <v>2973</v>
      </c>
      <c r="P336" s="6"/>
      <c r="Q336" s="15" t="s">
        <v>2974</v>
      </c>
      <c r="R336" s="6" t="s">
        <v>2976</v>
      </c>
      <c r="S336" s="6">
        <v>50.678888999999899</v>
      </c>
      <c r="T336" s="6">
        <v>14.0985479999999</v>
      </c>
      <c r="U336" s="6"/>
      <c r="V336" s="6"/>
      <c r="W336" s="6"/>
      <c r="X336" s="6"/>
      <c r="Y336" s="6"/>
      <c r="Z336" s="6"/>
      <c r="AA336" s="6" t="s">
        <v>47</v>
      </c>
      <c r="AB336" s="6"/>
      <c r="AD336" s="6"/>
      <c r="AE336" s="16"/>
      <c r="AF336" t="str">
        <f t="shared" si="0"/>
        <v>ANO</v>
      </c>
    </row>
    <row r="337" spans="1:37">
      <c r="A337" s="6">
        <v>311</v>
      </c>
      <c r="B337" s="6" t="s">
        <v>2977</v>
      </c>
      <c r="C337" s="6" t="s">
        <v>2978</v>
      </c>
      <c r="D337" s="6" t="s">
        <v>2979</v>
      </c>
      <c r="E337" s="12" t="s">
        <v>2980</v>
      </c>
      <c r="F337" s="6" t="s">
        <v>57</v>
      </c>
      <c r="G337" s="11">
        <v>2016</v>
      </c>
      <c r="H337" s="6"/>
      <c r="I337" s="13" t="str">
        <f>HYPERLINK("http://www.upiva.cz","http://www.upiva.cz")</f>
        <v>http://www.upiva.cz</v>
      </c>
      <c r="J337" s="13" t="str">
        <f>HYPERLINK("https://www.facebook.com/pivovaruhrineves","https://www.facebook.com/pivovaruhrineves")</f>
        <v>https://www.facebook.com/pivovaruhrineves</v>
      </c>
      <c r="K337" s="6" t="s">
        <v>2981</v>
      </c>
      <c r="L337" s="6"/>
      <c r="M337" s="6" t="s">
        <v>2982</v>
      </c>
      <c r="N337" s="6"/>
      <c r="O337" s="6" t="s">
        <v>2983</v>
      </c>
      <c r="P337" s="6" t="s">
        <v>2984</v>
      </c>
      <c r="Q337" s="15" t="s">
        <v>2985</v>
      </c>
      <c r="R337" s="6" t="s">
        <v>2986</v>
      </c>
      <c r="S337" s="6">
        <v>50.0279659999999</v>
      </c>
      <c r="T337" s="6">
        <v>14.606894</v>
      </c>
      <c r="U337" s="6"/>
      <c r="V337" s="6"/>
      <c r="W337" s="6"/>
      <c r="X337" s="6"/>
      <c r="Y337" s="6"/>
      <c r="Z337" s="6"/>
      <c r="AA337" s="6"/>
      <c r="AB337" s="6"/>
      <c r="AD337" s="6"/>
      <c r="AE337" s="17"/>
      <c r="AF337" t="str">
        <f t="shared" si="0"/>
        <v/>
      </c>
    </row>
    <row r="338" spans="1:37">
      <c r="A338" s="6">
        <v>312</v>
      </c>
      <c r="B338" s="6" t="s">
        <v>2987</v>
      </c>
      <c r="C338" s="6" t="s">
        <v>2988</v>
      </c>
      <c r="D338" s="6" t="s">
        <v>2987</v>
      </c>
      <c r="E338" s="12" t="s">
        <v>2989</v>
      </c>
      <c r="F338" s="6" t="s">
        <v>57</v>
      </c>
      <c r="G338" s="11">
        <v>2016</v>
      </c>
      <c r="H338" s="6">
        <v>500</v>
      </c>
      <c r="I338" s="13" t="str">
        <f>HYPERLINK("http://www.pivovarobora.cz","http://www.pivovarobora.cz")</f>
        <v>http://www.pivovarobora.cz</v>
      </c>
      <c r="J338" s="13" t="str">
        <f>HYPERLINK("https://www.facebook.com/pivovarobora","https://www.facebook.com/pivovarobora")</f>
        <v>https://www.facebook.com/pivovarobora</v>
      </c>
      <c r="K338" s="6" t="s">
        <v>2990</v>
      </c>
      <c r="L338" s="6"/>
      <c r="M338" s="6" t="s">
        <v>2991</v>
      </c>
      <c r="N338" s="6"/>
      <c r="O338" s="6" t="s">
        <v>2992</v>
      </c>
      <c r="P338" s="6"/>
      <c r="Q338" s="6"/>
      <c r="R338" s="6" t="s">
        <v>2993</v>
      </c>
      <c r="S338" s="6">
        <v>49.338788999999899</v>
      </c>
      <c r="T338" s="6">
        <v>14.638754</v>
      </c>
      <c r="U338" s="6"/>
      <c r="V338" s="6"/>
      <c r="W338" s="6"/>
      <c r="X338" s="6"/>
      <c r="Y338" s="6"/>
      <c r="Z338" s="6"/>
      <c r="AA338" s="6"/>
      <c r="AB338" s="6"/>
      <c r="AD338" s="6"/>
      <c r="AE338" s="17"/>
      <c r="AF338" t="str">
        <f t="shared" si="0"/>
        <v/>
      </c>
    </row>
    <row r="339" spans="1:37">
      <c r="A339" s="6">
        <v>313</v>
      </c>
      <c r="B339" s="6" t="s">
        <v>2994</v>
      </c>
      <c r="C339" s="6" t="s">
        <v>2995</v>
      </c>
      <c r="D339" s="6" t="s">
        <v>1153</v>
      </c>
      <c r="E339" s="12" t="s">
        <v>2996</v>
      </c>
      <c r="F339" s="6" t="s">
        <v>73</v>
      </c>
      <c r="G339" s="11">
        <v>2016</v>
      </c>
      <c r="H339" s="6"/>
      <c r="I339" s="13" t="str">
        <f>HYPERLINK("http://www.najizni.cz","http://www.najizni.cz")</f>
        <v>http://www.najizni.cz</v>
      </c>
      <c r="J339" s="13" t="str">
        <f>HYPERLINK("https://www.facebook.com/hotel.najizni","https://www.facebook.com/hotel.najizni")</f>
        <v>https://www.facebook.com/hotel.najizni</v>
      </c>
      <c r="K339" s="6" t="s">
        <v>2997</v>
      </c>
      <c r="L339" s="6"/>
      <c r="M339" s="6" t="s">
        <v>2998</v>
      </c>
      <c r="N339" s="6"/>
      <c r="O339" s="6" t="s">
        <v>2999</v>
      </c>
      <c r="P339" s="6"/>
      <c r="Q339" s="15" t="s">
        <v>3000</v>
      </c>
      <c r="R339" s="6" t="s">
        <v>3001</v>
      </c>
      <c r="S339" s="6">
        <v>49.44312</v>
      </c>
      <c r="T339" s="6">
        <v>17.455964000000002</v>
      </c>
      <c r="U339" s="6"/>
      <c r="V339" s="6"/>
      <c r="W339" s="6"/>
      <c r="X339" s="6"/>
      <c r="Y339" s="6"/>
      <c r="Z339" s="6"/>
      <c r="AA339" s="6" t="s">
        <v>47</v>
      </c>
      <c r="AB339" s="6"/>
      <c r="AC339" t="s">
        <v>47</v>
      </c>
      <c r="AD339" s="6"/>
      <c r="AE339" s="17" t="s">
        <v>47</v>
      </c>
      <c r="AF339" t="str">
        <f t="shared" si="0"/>
        <v>ANO</v>
      </c>
    </row>
    <row r="340" spans="1:37">
      <c r="A340" s="6">
        <v>314</v>
      </c>
      <c r="B340" s="6" t="s">
        <v>3002</v>
      </c>
      <c r="C340" s="6" t="s">
        <v>3003</v>
      </c>
      <c r="D340" s="6" t="s">
        <v>3004</v>
      </c>
      <c r="E340" s="12" t="s">
        <v>3005</v>
      </c>
      <c r="F340" s="6" t="s">
        <v>57</v>
      </c>
      <c r="G340" s="11">
        <v>2016</v>
      </c>
      <c r="H340" s="6"/>
      <c r="I340" s="13" t="str">
        <f>HYPERLINK("http://www.horackypivovar.cz","http://www.horackypivovar.cz")</f>
        <v>http://www.horackypivovar.cz</v>
      </c>
      <c r="J340" s="13" t="str">
        <f>HYPERLINK("https://www.facebook.com/pivohorac","https://www.facebook.com/pivohorac")</f>
        <v>https://www.facebook.com/pivohorac</v>
      </c>
      <c r="K340" s="6" t="s">
        <v>3006</v>
      </c>
      <c r="L340" s="6"/>
      <c r="M340" s="6" t="s">
        <v>3007</v>
      </c>
      <c r="N340" s="6"/>
      <c r="O340" s="6" t="s">
        <v>3008</v>
      </c>
      <c r="P340" s="6"/>
      <c r="Q340" s="6"/>
      <c r="R340" s="6" t="s">
        <v>3009</v>
      </c>
      <c r="S340" s="6">
        <v>49.31268</v>
      </c>
      <c r="T340" s="6">
        <v>15.7677409999999</v>
      </c>
      <c r="U340" s="6"/>
      <c r="V340" s="6"/>
      <c r="W340" s="6"/>
      <c r="X340" s="6"/>
      <c r="Y340" s="6"/>
      <c r="Z340" s="6"/>
      <c r="AA340" s="6"/>
      <c r="AB340" s="6"/>
      <c r="AD340" s="6"/>
      <c r="AE340" s="16"/>
      <c r="AF340" t="str">
        <f t="shared" si="0"/>
        <v/>
      </c>
    </row>
    <row r="341" spans="1:37">
      <c r="A341" s="6">
        <v>315</v>
      </c>
      <c r="B341" s="6" t="s">
        <v>3010</v>
      </c>
      <c r="C341" s="6" t="s">
        <v>3011</v>
      </c>
      <c r="D341" s="6" t="s">
        <v>1198</v>
      </c>
      <c r="E341" s="12" t="s">
        <v>3012</v>
      </c>
      <c r="F341" s="6" t="s">
        <v>38</v>
      </c>
      <c r="G341" s="11">
        <v>2016</v>
      </c>
      <c r="H341" s="6"/>
      <c r="I341" s="13" t="str">
        <f>HYPERLINK("http://pivovar-bahno.cz","http://pivovar-bahno.cz")</f>
        <v>http://pivovar-bahno.cz</v>
      </c>
      <c r="J341" s="13" t="str">
        <f>HYPERLINK("https://www.facebook.com/PIVOVARBAHNO","https://www.facebook.com/PIVOVARBAHNO")</f>
        <v>https://www.facebook.com/PIVOVARBAHNO</v>
      </c>
      <c r="K341" s="6" t="s">
        <v>3013</v>
      </c>
      <c r="L341" s="6"/>
      <c r="M341" s="6" t="s">
        <v>3014</v>
      </c>
      <c r="N341" s="6" t="s">
        <v>3015</v>
      </c>
      <c r="O341" s="6" t="s">
        <v>3010</v>
      </c>
      <c r="P341" s="6"/>
      <c r="Q341" s="15" t="s">
        <v>3016</v>
      </c>
      <c r="R341" s="6" t="s">
        <v>3017</v>
      </c>
      <c r="S341" s="6">
        <v>50.032425000000003</v>
      </c>
      <c r="T341" s="6">
        <v>15.7557639999999</v>
      </c>
      <c r="U341" s="6"/>
      <c r="V341" s="6"/>
      <c r="W341" s="6"/>
      <c r="X341" s="6"/>
      <c r="Y341" s="6"/>
      <c r="Z341" s="6"/>
      <c r="AA341" s="6" t="s">
        <v>47</v>
      </c>
      <c r="AB341" s="6" t="s">
        <v>47</v>
      </c>
      <c r="AC341" s="6" t="s">
        <v>47</v>
      </c>
      <c r="AD341" s="6" t="s">
        <v>47</v>
      </c>
      <c r="AE341" s="17" t="s">
        <v>47</v>
      </c>
      <c r="AF341" t="str">
        <f t="shared" si="0"/>
        <v>ANO</v>
      </c>
    </row>
    <row r="342" spans="1:37">
      <c r="A342" s="6">
        <v>316</v>
      </c>
      <c r="B342" s="6" t="s">
        <v>3018</v>
      </c>
      <c r="C342" s="6" t="s">
        <v>3019</v>
      </c>
      <c r="D342" s="6" t="s">
        <v>3020</v>
      </c>
      <c r="E342" s="12" t="s">
        <v>3021</v>
      </c>
      <c r="F342" s="6" t="s">
        <v>73</v>
      </c>
      <c r="G342" s="11">
        <v>2016</v>
      </c>
      <c r="H342" s="6"/>
      <c r="I342" s="6"/>
      <c r="J342" s="13" t="str">
        <f>HYPERLINK("https://www.facebook.com/Maloskalsk%C3%BD-pivovar-517141811752656","https://www.facebook.com/Maloskalsk%C3%BD-pivovar-517141811752656")</f>
        <v>https://www.facebook.com/Maloskalsk%C3%BD-pivovar-517141811752656</v>
      </c>
      <c r="K342" s="6" t="s">
        <v>3022</v>
      </c>
      <c r="L342" s="6"/>
      <c r="M342" s="6"/>
      <c r="N342" s="6"/>
      <c r="O342" s="6" t="s">
        <v>3023</v>
      </c>
      <c r="P342" s="6"/>
      <c r="Q342" s="15" t="s">
        <v>3024</v>
      </c>
      <c r="R342" s="6" t="s">
        <v>3025</v>
      </c>
      <c r="S342" s="6">
        <v>50.640751000000002</v>
      </c>
      <c r="T342" s="6">
        <v>15.191762000000001</v>
      </c>
      <c r="U342" s="6"/>
      <c r="V342" s="6"/>
      <c r="W342" s="6"/>
      <c r="X342" s="6"/>
      <c r="Y342" s="6"/>
      <c r="Z342" s="6"/>
      <c r="AA342" s="6"/>
      <c r="AB342" s="6" t="s">
        <v>47</v>
      </c>
      <c r="AD342" s="6"/>
      <c r="AE342" s="16"/>
      <c r="AF342" t="str">
        <f t="shared" si="0"/>
        <v>ANO</v>
      </c>
    </row>
    <row r="343" spans="1:37">
      <c r="A343" s="6">
        <v>317</v>
      </c>
      <c r="B343" s="6" t="s">
        <v>3026</v>
      </c>
      <c r="C343" s="6" t="s">
        <v>3027</v>
      </c>
      <c r="D343" s="6" t="s">
        <v>3028</v>
      </c>
      <c r="E343" s="12" t="s">
        <v>3029</v>
      </c>
      <c r="F343" s="6" t="s">
        <v>38</v>
      </c>
      <c r="G343" s="11">
        <v>2016</v>
      </c>
      <c r="H343" s="6">
        <v>750</v>
      </c>
      <c r="I343" s="13" t="str">
        <f>HYPERLINK("http://www.pivopanuzruze.cz","http://www.pivopanuzruze.cz")</f>
        <v>http://www.pivopanuzruze.cz</v>
      </c>
      <c r="J343" s="13" t="str">
        <f>HYPERLINK("https://www.facebook.com/pivovarzidovice.cz","https://www.facebook.com/pivovarzidovice.cz")</f>
        <v>https://www.facebook.com/pivovarzidovice.cz</v>
      </c>
      <c r="K343" s="6" t="s">
        <v>3030</v>
      </c>
      <c r="L343" s="6"/>
      <c r="M343" s="6" t="s">
        <v>3031</v>
      </c>
      <c r="N343" s="6"/>
      <c r="O343" s="6" t="s">
        <v>3032</v>
      </c>
      <c r="P343" s="6"/>
      <c r="Q343" s="6"/>
      <c r="R343" s="6" t="s">
        <v>3033</v>
      </c>
      <c r="S343" s="6">
        <v>50.445272000000003</v>
      </c>
      <c r="T343" s="6">
        <v>14.23307</v>
      </c>
      <c r="U343" s="6"/>
      <c r="V343" s="6"/>
      <c r="W343" s="6"/>
      <c r="X343" s="6"/>
      <c r="Y343" s="6"/>
      <c r="Z343" s="6"/>
      <c r="AA343" s="6"/>
      <c r="AB343" s="6"/>
      <c r="AD343" s="6"/>
      <c r="AE343" s="16"/>
      <c r="AF343" t="str">
        <f t="shared" si="0"/>
        <v/>
      </c>
    </row>
    <row r="344" spans="1:37">
      <c r="A344" s="6">
        <v>318</v>
      </c>
      <c r="B344" s="6" t="s">
        <v>3035</v>
      </c>
      <c r="C344" s="6" t="s">
        <v>3036</v>
      </c>
      <c r="D344" s="6" t="s">
        <v>3037</v>
      </c>
      <c r="E344" s="12" t="s">
        <v>3038</v>
      </c>
      <c r="F344" s="6" t="s">
        <v>57</v>
      </c>
      <c r="G344" s="11">
        <v>2016</v>
      </c>
      <c r="H344" s="6"/>
      <c r="I344" s="13" t="str">
        <f>HYPERLINK("http://www.skalickybudulinek.cz","http://www.skalickybudulinek.cz")</f>
        <v>http://www.skalickybudulinek.cz</v>
      </c>
      <c r="J344" s="13" t="str">
        <f>HYPERLINK("https://www.facebook.com/Minipivovar-Skalick%C3%BD-Budul%C3%ADnek-1718952698336296","https://www.facebook.com/Minipivovar-Skalick%C3%BD-Budul%C3%ADnek-1718952698336296")</f>
        <v>https://www.facebook.com/Minipivovar-Skalick%C3%BD-Budul%C3%ADnek-1718952698336296</v>
      </c>
      <c r="K344" s="6" t="s">
        <v>3039</v>
      </c>
      <c r="L344" s="6"/>
      <c r="M344" s="6"/>
      <c r="N344" s="6" t="s">
        <v>3040</v>
      </c>
      <c r="O344" s="6" t="s">
        <v>3041</v>
      </c>
      <c r="P344" s="6"/>
      <c r="Q344" s="15" t="s">
        <v>3042</v>
      </c>
      <c r="R344" s="6" t="s">
        <v>3043</v>
      </c>
      <c r="S344" s="6">
        <v>50.7416389999999</v>
      </c>
      <c r="T344" s="6">
        <v>14.525236</v>
      </c>
      <c r="U344" s="6"/>
      <c r="V344" s="6"/>
      <c r="W344" s="6"/>
      <c r="X344" s="6"/>
      <c r="Y344" s="6"/>
      <c r="Z344" s="6"/>
      <c r="AA344" s="6"/>
      <c r="AB344" s="6" t="s">
        <v>47</v>
      </c>
      <c r="AD344" s="6" t="s">
        <v>47</v>
      </c>
      <c r="AE344" s="17" t="s">
        <v>47</v>
      </c>
      <c r="AF344" t="str">
        <f t="shared" si="0"/>
        <v>ANO</v>
      </c>
    </row>
    <row r="345" spans="1:37">
      <c r="A345" s="6">
        <v>319</v>
      </c>
      <c r="B345" s="6" t="s">
        <v>3044</v>
      </c>
      <c r="C345" s="6" t="s">
        <v>3045</v>
      </c>
      <c r="D345" s="6" t="s">
        <v>1023</v>
      </c>
      <c r="E345" s="12" t="s">
        <v>3046</v>
      </c>
      <c r="F345" s="6" t="s">
        <v>73</v>
      </c>
      <c r="G345" s="11">
        <v>2016</v>
      </c>
      <c r="H345" s="6">
        <v>10000</v>
      </c>
      <c r="I345" s="13" t="str">
        <f>HYPERLINK("http://www.pivovarzichovec.cz","http://www.pivovarzichovec.cz")</f>
        <v>http://www.pivovarzichovec.cz</v>
      </c>
      <c r="J345" s="13" t="str">
        <f>HYPERLINK("https://www.facebook.com/pivovarzichovec","https://www.facebook.com/pivovarzichovec")</f>
        <v>https://www.facebook.com/pivovarzichovec</v>
      </c>
      <c r="K345" s="6" t="s">
        <v>1863</v>
      </c>
      <c r="L345" s="6"/>
      <c r="M345" s="6" t="s">
        <v>1864</v>
      </c>
      <c r="N345" s="6"/>
      <c r="O345" s="6" t="s">
        <v>1865</v>
      </c>
      <c r="P345" s="6"/>
      <c r="Q345" s="6"/>
      <c r="R345" s="6" t="s">
        <v>3047</v>
      </c>
      <c r="S345" s="6">
        <v>50.350667000000001</v>
      </c>
      <c r="T345" s="6">
        <v>13.817936</v>
      </c>
      <c r="U345" s="6"/>
      <c r="V345" s="6"/>
      <c r="W345" s="6"/>
      <c r="X345" s="6"/>
      <c r="Y345" s="6"/>
      <c r="Z345" s="6"/>
      <c r="AA345" s="6"/>
      <c r="AB345" s="6"/>
      <c r="AD345" s="6"/>
      <c r="AE345" s="16"/>
      <c r="AF345" t="str">
        <f t="shared" si="0"/>
        <v/>
      </c>
    </row>
    <row r="346" spans="1:37">
      <c r="A346" s="19">
        <v>319</v>
      </c>
      <c r="B346" s="20" t="s">
        <v>3048</v>
      </c>
      <c r="C346" s="20" t="s">
        <v>3049</v>
      </c>
      <c r="D346" s="16" t="s">
        <v>2602</v>
      </c>
      <c r="E346" s="23" t="s">
        <v>3050</v>
      </c>
      <c r="F346" s="23" t="s">
        <v>113</v>
      </c>
      <c r="G346" s="24">
        <v>2016.2017000000001</v>
      </c>
      <c r="H346" s="20"/>
      <c r="I346" s="20" t="s">
        <v>3051</v>
      </c>
      <c r="J346" s="20" t="s">
        <v>3052</v>
      </c>
      <c r="K346" s="16" t="s">
        <v>3053</v>
      </c>
      <c r="L346" s="20"/>
      <c r="M346" s="16" t="s">
        <v>3054</v>
      </c>
      <c r="N346" s="20"/>
      <c r="O346" s="16" t="s">
        <v>3048</v>
      </c>
      <c r="P346" s="20"/>
      <c r="Q346" s="27" t="s">
        <v>3055</v>
      </c>
      <c r="R346" s="20" t="s">
        <v>3056</v>
      </c>
      <c r="S346" s="19">
        <v>50.076327999999897</v>
      </c>
      <c r="T346" s="19">
        <v>14.430812</v>
      </c>
      <c r="U346" s="20"/>
      <c r="V346" s="20"/>
      <c r="W346" s="20"/>
      <c r="X346" s="20"/>
      <c r="Y346" s="20"/>
      <c r="Z346" s="20"/>
      <c r="AA346" s="20"/>
      <c r="AB346" s="20" t="s">
        <v>47</v>
      </c>
      <c r="AC346" s="20"/>
      <c r="AD346" s="20"/>
      <c r="AE346" s="20"/>
      <c r="AF346" t="str">
        <f t="shared" si="0"/>
        <v>ANO</v>
      </c>
      <c r="AG346" s="20"/>
      <c r="AH346" s="20"/>
      <c r="AI346" s="20"/>
      <c r="AJ346" s="20"/>
      <c r="AK346" s="20"/>
    </row>
    <row r="347" spans="1:37">
      <c r="A347" s="6">
        <v>320</v>
      </c>
      <c r="B347" s="6" t="s">
        <v>3057</v>
      </c>
      <c r="C347" s="6" t="s">
        <v>3059</v>
      </c>
      <c r="D347" s="6" t="s">
        <v>55</v>
      </c>
      <c r="E347" s="12" t="s">
        <v>3060</v>
      </c>
      <c r="F347" s="6" t="s">
        <v>73</v>
      </c>
      <c r="G347" s="11">
        <v>2016</v>
      </c>
      <c r="H347" s="6">
        <v>2900</v>
      </c>
      <c r="I347" s="13" t="str">
        <f>HYPERLINK("http://tovarnaslany.cz","http://tovarnaslany.cz")</f>
        <v>http://tovarnaslany.cz</v>
      </c>
      <c r="J347" s="13" t="str">
        <f>HYPERLINK("https://www.facebook.com/Tov%C3%A1rna-Slan%C3%BD-536538816388564","https://www.facebook.com/Tov%C3%A1rna-Slan%C3%BD-536538816388564")</f>
        <v>https://www.facebook.com/Tov%C3%A1rna-Slan%C3%BD-536538816388564</v>
      </c>
      <c r="K347" s="6" t="s">
        <v>3061</v>
      </c>
      <c r="L347" s="6"/>
      <c r="M347" s="6"/>
      <c r="N347" s="6"/>
      <c r="O347" s="6" t="s">
        <v>3062</v>
      </c>
      <c r="P347" s="6"/>
      <c r="Q347" s="15" t="s">
        <v>3063</v>
      </c>
      <c r="R347" s="6" t="s">
        <v>3064</v>
      </c>
      <c r="S347" s="6">
        <v>50.228619000000002</v>
      </c>
      <c r="T347" s="6">
        <v>14.077971</v>
      </c>
      <c r="U347" s="6"/>
      <c r="V347" s="6"/>
      <c r="W347" s="6"/>
      <c r="X347" s="6"/>
      <c r="Y347" s="6"/>
      <c r="Z347" s="6"/>
      <c r="AA347" s="6"/>
      <c r="AB347" s="6"/>
      <c r="AD347" s="6"/>
      <c r="AE347" s="17" t="s">
        <v>47</v>
      </c>
      <c r="AF347" t="str">
        <f t="shared" si="0"/>
        <v>ANO</v>
      </c>
    </row>
    <row r="348" spans="1:37">
      <c r="A348" s="6">
        <v>321</v>
      </c>
      <c r="B348" s="6" t="s">
        <v>3065</v>
      </c>
      <c r="C348" s="6" t="s">
        <v>3066</v>
      </c>
      <c r="D348" s="6" t="s">
        <v>3067</v>
      </c>
      <c r="E348" s="12" t="s">
        <v>3068</v>
      </c>
      <c r="F348" s="6" t="s">
        <v>57</v>
      </c>
      <c r="G348" s="11">
        <v>2016</v>
      </c>
      <c r="H348" s="6"/>
      <c r="I348" s="13" t="str">
        <f>HYPERLINK("http://www.duckdog.cz","http://www.duckdog.cz")</f>
        <v>http://www.duckdog.cz</v>
      </c>
      <c r="J348" s="13" t="str">
        <f>HYPERLINK("https://www.facebook.com/duckdogcz","https://www.facebook.com/duckdogcz")</f>
        <v>https://www.facebook.com/duckdogcz</v>
      </c>
      <c r="K348" s="6" t="s">
        <v>3069</v>
      </c>
      <c r="L348" s="6"/>
      <c r="M348" s="6"/>
      <c r="N348" s="6" t="s">
        <v>3070</v>
      </c>
      <c r="O348" s="6" t="s">
        <v>3065</v>
      </c>
      <c r="P348" s="6"/>
      <c r="Q348" s="15" t="s">
        <v>3071</v>
      </c>
      <c r="R348" s="6" t="s">
        <v>3072</v>
      </c>
      <c r="S348" s="6">
        <v>49.087605799999999</v>
      </c>
      <c r="T348" s="6">
        <v>16.5897261</v>
      </c>
      <c r="U348" s="6"/>
      <c r="V348" s="6"/>
      <c r="W348" s="6"/>
      <c r="X348" s="6"/>
      <c r="Y348" s="6"/>
      <c r="Z348" s="6"/>
      <c r="AA348" s="6"/>
      <c r="AB348" s="6" t="s">
        <v>47</v>
      </c>
      <c r="AD348" s="6" t="s">
        <v>47</v>
      </c>
      <c r="AE348" s="17" t="s">
        <v>47</v>
      </c>
      <c r="AF348" t="str">
        <f t="shared" si="0"/>
        <v>ANO</v>
      </c>
    </row>
    <row r="349" spans="1:37">
      <c r="A349" s="6">
        <v>322</v>
      </c>
      <c r="B349" s="6" t="s">
        <v>3073</v>
      </c>
      <c r="C349" s="6" t="s">
        <v>3074</v>
      </c>
      <c r="D349" s="6" t="s">
        <v>3075</v>
      </c>
      <c r="E349" s="12" t="s">
        <v>3076</v>
      </c>
      <c r="F349" s="6" t="s">
        <v>57</v>
      </c>
      <c r="G349" s="11">
        <v>2016</v>
      </c>
      <c r="H349" s="6">
        <v>2000</v>
      </c>
      <c r="I349" s="13" t="str">
        <f>HYPERLINK("http://www.pivovarkunratice.cz","http://www.pivovarkunratice.cz")</f>
        <v>http://www.pivovarkunratice.cz</v>
      </c>
      <c r="J349" s="13" t="str">
        <f>HYPERLINK("https://www.facebook.com/Pivovar-Kunratice-1514390538801047","https://www.facebook.com/Pivovar-Kunratice-1514390538801047")</f>
        <v>https://www.facebook.com/Pivovar-Kunratice-1514390538801047</v>
      </c>
      <c r="K349" s="6" t="s">
        <v>3077</v>
      </c>
      <c r="L349" s="6"/>
      <c r="M349" s="6" t="s">
        <v>3078</v>
      </c>
      <c r="N349" s="6"/>
      <c r="O349" s="6" t="s">
        <v>3079</v>
      </c>
      <c r="P349" s="6"/>
      <c r="Q349" s="6"/>
      <c r="R349" s="6" t="s">
        <v>3080</v>
      </c>
      <c r="S349" s="6">
        <v>50.007629000000001</v>
      </c>
      <c r="T349" s="6">
        <v>14.4800679999999</v>
      </c>
      <c r="U349" s="6"/>
      <c r="V349" s="6"/>
      <c r="W349" s="6"/>
      <c r="X349" s="6"/>
      <c r="Y349" s="6"/>
      <c r="Z349" s="6"/>
      <c r="AA349" s="6"/>
      <c r="AB349" s="6"/>
      <c r="AD349" s="6"/>
      <c r="AE349" s="16"/>
      <c r="AF349" t="str">
        <f t="shared" si="0"/>
        <v/>
      </c>
    </row>
    <row r="350" spans="1:37">
      <c r="A350" s="6">
        <v>323</v>
      </c>
      <c r="B350" s="6" t="s">
        <v>3081</v>
      </c>
      <c r="C350" s="6" t="s">
        <v>3082</v>
      </c>
      <c r="D350" s="6" t="s">
        <v>3083</v>
      </c>
      <c r="E350" s="12" t="s">
        <v>3084</v>
      </c>
      <c r="F350" s="6" t="s">
        <v>57</v>
      </c>
      <c r="G350" s="18">
        <v>2015</v>
      </c>
      <c r="H350" s="6"/>
      <c r="I350" s="13" t="str">
        <f>HYPERLINK("http://www.dedkovopivo.eu","http://www.dedkovopivo.eu")</f>
        <v>http://www.dedkovopivo.eu</v>
      </c>
      <c r="J350" s="13" t="str">
        <f>HYPERLINK("https://www.facebook.com/dedkovopivo","https://www.facebook.com/dedkovopivo")</f>
        <v>https://www.facebook.com/dedkovopivo</v>
      </c>
      <c r="K350" s="6" t="s">
        <v>3085</v>
      </c>
      <c r="L350" s="6"/>
      <c r="M350" s="6" t="s">
        <v>3086</v>
      </c>
      <c r="N350" s="6"/>
      <c r="O350" s="6" t="s">
        <v>3087</v>
      </c>
      <c r="P350" s="6"/>
      <c r="Q350" s="6"/>
      <c r="R350" s="6" t="s">
        <v>3088</v>
      </c>
      <c r="S350" s="6">
        <v>49.479019999999899</v>
      </c>
      <c r="T350" s="6">
        <v>15.640981</v>
      </c>
      <c r="U350" s="6"/>
      <c r="V350" s="6"/>
      <c r="W350" s="6"/>
      <c r="X350" s="6"/>
      <c r="Y350" s="6"/>
      <c r="Z350" s="6"/>
      <c r="AA350" s="6"/>
      <c r="AB350" s="6"/>
      <c r="AD350" s="6"/>
      <c r="AE350" s="16"/>
      <c r="AF350" t="str">
        <f t="shared" si="0"/>
        <v/>
      </c>
    </row>
    <row r="351" spans="1:37">
      <c r="A351" s="6">
        <v>324</v>
      </c>
      <c r="B351" s="6" t="s">
        <v>3090</v>
      </c>
      <c r="C351" s="6" t="s">
        <v>3091</v>
      </c>
      <c r="D351" s="6" t="s">
        <v>1034</v>
      </c>
      <c r="E351" s="12" t="s">
        <v>3092</v>
      </c>
      <c r="F351" s="6" t="s">
        <v>73</v>
      </c>
      <c r="G351" s="11">
        <v>2016</v>
      </c>
      <c r="H351" s="6"/>
      <c r="I351" s="13" t="str">
        <f>HYPERLINK("http://riegrovka.eu","http://riegrovka.eu")</f>
        <v>http://riegrovka.eu</v>
      </c>
      <c r="J351" s="13" t="str">
        <f>HYPERLINK("https://www.facebook.com/Minipivovar-a-steakhouse-Riegrovka-1715011785385320","https://www.facebook.com/Minipivovar-a-steakhouse-Riegrovka-1715011785385320")</f>
        <v>https://www.facebook.com/Minipivovar-a-steakhouse-Riegrovka-1715011785385320</v>
      </c>
      <c r="K351" s="6" t="s">
        <v>3094</v>
      </c>
      <c r="L351" s="6"/>
      <c r="M351" s="6"/>
      <c r="N351" s="6"/>
      <c r="O351" s="6" t="s">
        <v>3090</v>
      </c>
      <c r="P351" s="6"/>
      <c r="Q351" s="15" t="s">
        <v>3095</v>
      </c>
      <c r="R351" s="6" t="s">
        <v>3096</v>
      </c>
      <c r="S351" s="6">
        <v>49.594943999999899</v>
      </c>
      <c r="T351" s="6">
        <v>17.248313</v>
      </c>
      <c r="U351" s="6"/>
      <c r="V351" s="6"/>
      <c r="W351" s="6"/>
      <c r="X351" s="6"/>
      <c r="Y351" s="6"/>
      <c r="Z351" s="6"/>
      <c r="AA351" s="6"/>
      <c r="AB351" s="6"/>
      <c r="AD351" s="6"/>
      <c r="AE351" s="17" t="s">
        <v>47</v>
      </c>
      <c r="AF351" t="str">
        <f t="shared" si="0"/>
        <v>ANO</v>
      </c>
    </row>
    <row r="352" spans="1:37">
      <c r="A352" s="6">
        <v>325</v>
      </c>
      <c r="B352" s="6" t="s">
        <v>3097</v>
      </c>
      <c r="C352" s="6" t="s">
        <v>3098</v>
      </c>
      <c r="D352" s="6" t="s">
        <v>3099</v>
      </c>
      <c r="E352" s="12" t="s">
        <v>3100</v>
      </c>
      <c r="F352" s="6" t="s">
        <v>73</v>
      </c>
      <c r="G352" s="11">
        <v>2016</v>
      </c>
      <c r="H352" s="6"/>
      <c r="I352" s="13" t="str">
        <f>HYPERLINK("http://www.pivovartrautenberk.cz","http://www.pivovartrautenberk.cz")</f>
        <v>http://www.pivovartrautenberk.cz</v>
      </c>
      <c r="J352" s="13" t="str">
        <f>HYPERLINK("https://www.facebook.com/PivovarTrautenberk","https://www.facebook.com/PivovarTrautenberk")</f>
        <v>https://www.facebook.com/PivovarTrautenberk</v>
      </c>
      <c r="K352" s="6" t="s">
        <v>3102</v>
      </c>
      <c r="L352" s="6"/>
      <c r="M352" s="6" t="s">
        <v>3103</v>
      </c>
      <c r="N352" s="6"/>
      <c r="O352" s="6" t="s">
        <v>3097</v>
      </c>
      <c r="P352" s="6"/>
      <c r="Q352" s="6"/>
      <c r="R352" s="6" t="s">
        <v>3104</v>
      </c>
      <c r="S352" s="6">
        <v>50.7455199999999</v>
      </c>
      <c r="T352" s="6">
        <v>15.822017000000001</v>
      </c>
      <c r="U352" s="6"/>
      <c r="V352" s="6"/>
      <c r="W352" s="6"/>
      <c r="X352" s="6"/>
      <c r="Y352" s="6"/>
      <c r="Z352" s="6"/>
      <c r="AA352" s="6"/>
      <c r="AB352" s="6"/>
      <c r="AD352" s="6"/>
      <c r="AE352" s="16"/>
      <c r="AF352" t="str">
        <f t="shared" si="0"/>
        <v/>
      </c>
    </row>
    <row r="353" spans="1:32">
      <c r="A353" s="6">
        <v>326</v>
      </c>
      <c r="B353" s="8">
        <v>713</v>
      </c>
      <c r="C353" s="6" t="s">
        <v>3105</v>
      </c>
      <c r="D353" s="6" t="s">
        <v>208</v>
      </c>
      <c r="E353" s="12" t="s">
        <v>3106</v>
      </c>
      <c r="F353" s="6" t="s">
        <v>38</v>
      </c>
      <c r="G353" s="11">
        <v>2015</v>
      </c>
      <c r="H353" s="6"/>
      <c r="I353" s="13" t="str">
        <f>HYPERLINK("http://www.hradeckepivo.cz","http://www.hradeckepivo.cz")</f>
        <v>http://www.hradeckepivo.cz</v>
      </c>
      <c r="J353" s="13" t="str">
        <f>HYPERLINK("https://www.facebook.com/hradeckepivo","https://www.facebook.com/hradeckepivo")</f>
        <v>https://www.facebook.com/hradeckepivo</v>
      </c>
      <c r="K353" s="6" t="s">
        <v>3107</v>
      </c>
      <c r="L353" s="6"/>
      <c r="M353" s="6"/>
      <c r="N353" s="6"/>
      <c r="O353" s="6" t="s">
        <v>3108</v>
      </c>
      <c r="P353" s="6" t="s">
        <v>3109</v>
      </c>
      <c r="Q353" s="15" t="s">
        <v>3110</v>
      </c>
      <c r="R353" s="6" t="s">
        <v>3111</v>
      </c>
      <c r="S353" s="6">
        <v>50.209066999999898</v>
      </c>
      <c r="T353" s="6">
        <v>15.814399</v>
      </c>
      <c r="U353" s="6"/>
      <c r="V353" s="6"/>
      <c r="W353" s="6"/>
      <c r="X353" s="6"/>
      <c r="Y353" s="6"/>
      <c r="Z353" s="6"/>
      <c r="AA353" s="6"/>
      <c r="AB353" s="6"/>
      <c r="AC353" s="9" t="s">
        <v>47</v>
      </c>
      <c r="AD353" s="6"/>
      <c r="AE353" s="16"/>
      <c r="AF353" t="str">
        <f t="shared" si="0"/>
        <v>ANO</v>
      </c>
    </row>
    <row r="354" spans="1:32">
      <c r="A354" s="6">
        <v>327</v>
      </c>
      <c r="B354" s="6" t="s">
        <v>3112</v>
      </c>
      <c r="C354" s="6" t="s">
        <v>3113</v>
      </c>
      <c r="D354" s="6" t="s">
        <v>3114</v>
      </c>
      <c r="E354" s="12" t="s">
        <v>3115</v>
      </c>
      <c r="F354" s="6" t="s">
        <v>73</v>
      </c>
      <c r="G354" s="11">
        <v>2015</v>
      </c>
      <c r="H354" s="6"/>
      <c r="I354" s="13" t="str">
        <f>HYPERLINK("http://www.cerny-orel.cz","http://www.cerny-orel.cz")</f>
        <v>http://www.cerny-orel.cz</v>
      </c>
      <c r="J354" s="13" t="str">
        <f>HYPERLINK("https://www.facebook.com/Restaurace-%C4%8Cern%C3%BD-Orel-443122972453578","https://www.facebook.com/Restaurace-%C4%8Cern%C3%BD-Orel-443122972453578")</f>
        <v>https://www.facebook.com/Restaurace-%C4%8Cern%C3%BD-Orel-443122972453578</v>
      </c>
      <c r="K354" s="6" t="s">
        <v>3117</v>
      </c>
      <c r="L354" s="6"/>
      <c r="M354" s="6"/>
      <c r="N354" s="6"/>
      <c r="O354" s="6" t="s">
        <v>3118</v>
      </c>
      <c r="P354" s="6"/>
      <c r="Q354" s="6"/>
      <c r="R354" s="6" t="s">
        <v>3119</v>
      </c>
      <c r="S354" s="6">
        <v>50.623185999999897</v>
      </c>
      <c r="T354" s="6">
        <v>13.690014</v>
      </c>
      <c r="U354" s="6"/>
      <c r="V354" s="6"/>
      <c r="W354" s="6"/>
      <c r="X354" s="6"/>
      <c r="Y354" s="6"/>
      <c r="Z354" s="6"/>
      <c r="AA354" s="6" t="s">
        <v>47</v>
      </c>
      <c r="AB354" s="6"/>
      <c r="AD354" s="6" t="s">
        <v>47</v>
      </c>
      <c r="AE354" s="17" t="s">
        <v>47</v>
      </c>
      <c r="AF354" t="str">
        <f t="shared" si="0"/>
        <v>ANO</v>
      </c>
    </row>
    <row r="355" spans="1:32">
      <c r="A355" s="6">
        <v>328</v>
      </c>
      <c r="B355" s="6" t="s">
        <v>3122</v>
      </c>
      <c r="C355" s="6" t="s">
        <v>3123</v>
      </c>
      <c r="D355" s="6" t="s">
        <v>3124</v>
      </c>
      <c r="E355" s="12" t="s">
        <v>3125</v>
      </c>
      <c r="F355" s="6" t="s">
        <v>73</v>
      </c>
      <c r="G355" s="11">
        <v>2015</v>
      </c>
      <c r="H355" s="6">
        <v>1400</v>
      </c>
      <c r="I355" s="13" t="str">
        <f>HYPERLINK("http://www.harleypub.com","http://www.harleypub.com")</f>
        <v>http://www.harleypub.com</v>
      </c>
      <c r="J355" s="13" t="str">
        <f>HYPERLINK("https://www.facebook.com/harleybreweryandpub","https://www.facebook.com/harleybreweryandpub")</f>
        <v>https://www.facebook.com/harleybreweryandpub</v>
      </c>
      <c r="K355" s="6" t="s">
        <v>3126</v>
      </c>
      <c r="L355" s="6"/>
      <c r="M355" s="6"/>
      <c r="N355" s="6"/>
      <c r="O355" s="6" t="s">
        <v>3127</v>
      </c>
      <c r="P355" s="6"/>
      <c r="Q355" s="15" t="s">
        <v>3128</v>
      </c>
      <c r="R355" s="6" t="s">
        <v>3129</v>
      </c>
      <c r="S355" s="6">
        <v>49.201396000000003</v>
      </c>
      <c r="T355" s="6">
        <v>17.533145000000001</v>
      </c>
      <c r="U355" s="6"/>
      <c r="V355" s="6"/>
      <c r="W355" s="6"/>
      <c r="X355" s="6"/>
      <c r="Y355" s="6"/>
      <c r="Z355" s="6" t="s">
        <v>47</v>
      </c>
      <c r="AA355" s="6"/>
      <c r="AB355" s="6"/>
      <c r="AD355" s="6"/>
      <c r="AE355" s="17" t="s">
        <v>47</v>
      </c>
      <c r="AF355" t="str">
        <f t="shared" si="0"/>
        <v>ANO</v>
      </c>
    </row>
    <row r="356" spans="1:32">
      <c r="A356" s="6">
        <v>329</v>
      </c>
      <c r="B356" s="6" t="s">
        <v>3130</v>
      </c>
      <c r="C356" s="6" t="s">
        <v>3131</v>
      </c>
      <c r="D356" s="6" t="s">
        <v>288</v>
      </c>
      <c r="E356" s="12" t="s">
        <v>3132</v>
      </c>
      <c r="F356" s="6" t="s">
        <v>73</v>
      </c>
      <c r="G356" s="11">
        <v>2015</v>
      </c>
      <c r="H356" s="6"/>
      <c r="I356" s="13" t="str">
        <f>HYPERLINK("http://www.holendr.cz","http://www.holendr.cz")</f>
        <v>http://www.holendr.cz</v>
      </c>
      <c r="J356" s="13" t="str">
        <f>HYPERLINK("https://www.facebook.com/pivovar.holendr","https://www.facebook.com/pivovar.holendr")</f>
        <v>https://www.facebook.com/pivovar.holendr</v>
      </c>
      <c r="K356" s="6" t="s">
        <v>3133</v>
      </c>
      <c r="L356" s="6"/>
      <c r="M356" s="6" t="s">
        <v>3134</v>
      </c>
      <c r="N356" s="6"/>
      <c r="O356" s="6" t="s">
        <v>3130</v>
      </c>
      <c r="P356" s="6"/>
      <c r="Q356" s="15" t="s">
        <v>3135</v>
      </c>
      <c r="R356" s="6" t="s">
        <v>3136</v>
      </c>
      <c r="S356" s="6">
        <v>49.481628999999899</v>
      </c>
      <c r="T356" s="6">
        <v>17.9670209999999</v>
      </c>
      <c r="U356" s="6"/>
      <c r="V356" s="6"/>
      <c r="W356" s="6"/>
      <c r="X356" s="6"/>
      <c r="Y356" s="6"/>
      <c r="Z356" s="6"/>
      <c r="AA356" s="6" t="s">
        <v>47</v>
      </c>
      <c r="AB356" s="6"/>
      <c r="AD356" s="6" t="s">
        <v>47</v>
      </c>
      <c r="AE356" s="17" t="s">
        <v>47</v>
      </c>
      <c r="AF356" t="str">
        <f t="shared" si="0"/>
        <v>ANO</v>
      </c>
    </row>
    <row r="357" spans="1:32">
      <c r="A357" s="6">
        <v>330</v>
      </c>
      <c r="B357" s="6" t="s">
        <v>3137</v>
      </c>
      <c r="C357" s="6" t="s">
        <v>3138</v>
      </c>
      <c r="D357" s="6" t="s">
        <v>3139</v>
      </c>
      <c r="E357" s="12" t="s">
        <v>3140</v>
      </c>
      <c r="F357" s="6" t="s">
        <v>57</v>
      </c>
      <c r="G357" s="11">
        <v>2015</v>
      </c>
      <c r="H357" s="6">
        <v>2000</v>
      </c>
      <c r="I357" s="13" t="str">
        <f>HYPERLINK("http://www.pivohusar.cz","http://www.pivohusar.cz")</f>
        <v>http://www.pivohusar.cz</v>
      </c>
      <c r="J357" s="13" t="str">
        <f>HYPERLINK("https://www.facebook.com/www.pivohusar.cz","https://www.facebook.com/www.pivohusar.cz")</f>
        <v>https://www.facebook.com/www.pivohusar.cz</v>
      </c>
      <c r="K357" s="6" t="s">
        <v>3141</v>
      </c>
      <c r="L357" s="6"/>
      <c r="M357" s="6" t="s">
        <v>3142</v>
      </c>
      <c r="N357" s="6"/>
      <c r="O357" s="6" t="s">
        <v>3143</v>
      </c>
      <c r="P357" s="6"/>
      <c r="Q357" s="6"/>
      <c r="R357" s="6" t="s">
        <v>3144</v>
      </c>
      <c r="S357" s="6">
        <v>49.283219000000003</v>
      </c>
      <c r="T357" s="6">
        <v>17.171433</v>
      </c>
      <c r="U357" s="6"/>
      <c r="V357" s="6"/>
      <c r="W357" s="6"/>
      <c r="X357" s="6"/>
      <c r="Y357" s="6"/>
      <c r="Z357" s="6"/>
      <c r="AA357" s="6"/>
      <c r="AB357" s="6"/>
      <c r="AD357" s="6"/>
      <c r="AE357" s="16"/>
      <c r="AF357" t="str">
        <f t="shared" si="0"/>
        <v/>
      </c>
    </row>
    <row r="358" spans="1:32">
      <c r="A358" s="6">
        <v>331</v>
      </c>
      <c r="B358" s="6" t="s">
        <v>953</v>
      </c>
      <c r="C358" s="6" t="s">
        <v>3145</v>
      </c>
      <c r="D358" s="6" t="s">
        <v>953</v>
      </c>
      <c r="E358" s="12" t="s">
        <v>3146</v>
      </c>
      <c r="F358" s="6" t="s">
        <v>57</v>
      </c>
      <c r="G358" s="11">
        <v>2015</v>
      </c>
      <c r="H358" s="6">
        <v>1500</v>
      </c>
      <c r="I358" s="13" t="str">
        <f>HYPERLINK("http://www.pivovartisnov.cz","http://www.pivovartisnov.cz")</f>
        <v>http://www.pivovartisnov.cz</v>
      </c>
      <c r="J358" s="13" t="str">
        <f>HYPERLINK("https://www.facebook.com/pivovartisnov","https://www.facebook.com/pivovartisnov")</f>
        <v>https://www.facebook.com/pivovartisnov</v>
      </c>
      <c r="K358" s="6" t="s">
        <v>3147</v>
      </c>
      <c r="L358" s="6"/>
      <c r="M358" s="6" t="s">
        <v>3148</v>
      </c>
      <c r="N358" s="6"/>
      <c r="O358" s="6" t="s">
        <v>3149</v>
      </c>
      <c r="P358" s="6" t="s">
        <v>3150</v>
      </c>
      <c r="Q358" s="15" t="s">
        <v>3151</v>
      </c>
      <c r="R358" s="12" t="s">
        <v>3152</v>
      </c>
      <c r="S358" s="12">
        <v>49.344527800000002</v>
      </c>
      <c r="T358" s="12">
        <v>16.4198083</v>
      </c>
      <c r="U358" s="6"/>
      <c r="V358" s="6"/>
      <c r="W358" s="6"/>
      <c r="X358" s="6"/>
      <c r="Y358" s="6"/>
      <c r="Z358" s="6"/>
      <c r="AA358" s="6"/>
      <c r="AB358" s="6"/>
      <c r="AC358" s="9" t="s">
        <v>47</v>
      </c>
      <c r="AD358" s="6"/>
      <c r="AE358" s="17" t="s">
        <v>47</v>
      </c>
      <c r="AF358" t="str">
        <f t="shared" si="0"/>
        <v>ANO</v>
      </c>
    </row>
    <row r="359" spans="1:32">
      <c r="A359" s="6">
        <v>332</v>
      </c>
      <c r="B359" s="6" t="s">
        <v>3153</v>
      </c>
      <c r="C359" s="6" t="s">
        <v>3154</v>
      </c>
      <c r="D359" s="6" t="s">
        <v>767</v>
      </c>
      <c r="E359" s="12" t="s">
        <v>3155</v>
      </c>
      <c r="F359" s="6" t="s">
        <v>73</v>
      </c>
      <c r="G359" s="11">
        <v>2016</v>
      </c>
      <c r="H359" s="6"/>
      <c r="I359" s="13" t="str">
        <f>HYPERLINK("http://biskupskypivovar.cz","http://biskupskypivovar.cz")</f>
        <v>http://biskupskypivovar.cz</v>
      </c>
      <c r="J359" s="13" t="str">
        <f>HYPERLINK("https://www.facebook.com/Biskupskypivovar","https://www.facebook.com/Biskupskypivovar")</f>
        <v>https://www.facebook.com/Biskupskypivovar</v>
      </c>
      <c r="K359" s="6" t="s">
        <v>3156</v>
      </c>
      <c r="L359" s="6"/>
      <c r="M359" s="6" t="s">
        <v>3157</v>
      </c>
      <c r="N359" s="6"/>
      <c r="O359" s="6" t="s">
        <v>3158</v>
      </c>
      <c r="P359" s="6"/>
      <c r="Q359" s="15" t="s">
        <v>3159</v>
      </c>
      <c r="R359" s="6" t="s">
        <v>3160</v>
      </c>
      <c r="S359" s="6">
        <v>50.5374839999999</v>
      </c>
      <c r="T359" s="6">
        <v>14.1270349999999</v>
      </c>
      <c r="U359" s="6"/>
      <c r="V359" s="6"/>
      <c r="W359" s="6"/>
      <c r="X359" s="6"/>
      <c r="Y359" s="6"/>
      <c r="Z359" s="6"/>
      <c r="AA359" s="6"/>
      <c r="AB359" s="6" t="s">
        <v>47</v>
      </c>
      <c r="AD359" s="6" t="s">
        <v>47</v>
      </c>
      <c r="AE359" s="17" t="s">
        <v>47</v>
      </c>
      <c r="AF359" t="str">
        <f t="shared" si="0"/>
        <v>ANO</v>
      </c>
    </row>
    <row r="360" spans="1:32">
      <c r="A360" s="6">
        <v>333</v>
      </c>
      <c r="B360" s="6" t="s">
        <v>3161</v>
      </c>
      <c r="C360" s="6" t="s">
        <v>3162</v>
      </c>
      <c r="D360" s="6" t="s">
        <v>3161</v>
      </c>
      <c r="E360" s="12" t="s">
        <v>3163</v>
      </c>
      <c r="F360" s="6" t="s">
        <v>38</v>
      </c>
      <c r="G360" s="11">
        <v>2015</v>
      </c>
      <c r="H360" s="6">
        <v>900</v>
      </c>
      <c r="I360" s="13" t="str">
        <f>HYPERLINK("http://www.pivovarbitov.cz","http://www.pivovarbitov.cz")</f>
        <v>http://www.pivovarbitov.cz</v>
      </c>
      <c r="J360" s="13" t="str">
        <f>HYPERLINK("https://www.facebook.com/pivovarbitov","https://www.facebook.com/pivovarbitov")</f>
        <v>https://www.facebook.com/pivovarbitov</v>
      </c>
      <c r="K360" s="6" t="s">
        <v>3165</v>
      </c>
      <c r="L360" s="6"/>
      <c r="M360" s="6"/>
      <c r="N360" s="6"/>
      <c r="O360" s="6" t="s">
        <v>3166</v>
      </c>
      <c r="P360" s="6"/>
      <c r="Q360" s="6"/>
      <c r="R360" s="6" t="s">
        <v>3167</v>
      </c>
      <c r="S360" s="6">
        <v>48.9375736</v>
      </c>
      <c r="T360" s="6">
        <v>15.7297744</v>
      </c>
      <c r="U360" s="6"/>
      <c r="V360" s="6"/>
      <c r="W360" s="6"/>
      <c r="X360" s="6"/>
      <c r="Y360" s="6"/>
      <c r="Z360" s="6"/>
      <c r="AA360" s="6"/>
      <c r="AB360" s="6"/>
      <c r="AD360" s="6"/>
      <c r="AE360" s="16"/>
      <c r="AF360" t="str">
        <f t="shared" si="0"/>
        <v/>
      </c>
    </row>
    <row r="361" spans="1:32">
      <c r="A361" s="6">
        <v>334</v>
      </c>
      <c r="B361" s="6" t="s">
        <v>3168</v>
      </c>
      <c r="C361" s="6" t="s">
        <v>3169</v>
      </c>
      <c r="D361" s="6" t="s">
        <v>3170</v>
      </c>
      <c r="E361" s="12" t="s">
        <v>3171</v>
      </c>
      <c r="F361" s="6" t="s">
        <v>73</v>
      </c>
      <c r="G361" s="11">
        <v>2015</v>
      </c>
      <c r="H361" s="6"/>
      <c r="I361" s="13" t="str">
        <f>HYPERLINK("http://ucapa.eu","http://ucapa.eu")</f>
        <v>http://ucapa.eu</v>
      </c>
      <c r="J361" s="13" t="str">
        <f>HYPERLINK("https://www.facebook.com/pivovarprichovice","https://www.facebook.com/pivovarprichovice")</f>
        <v>https://www.facebook.com/pivovarprichovice</v>
      </c>
      <c r="K361" s="6" t="s">
        <v>3172</v>
      </c>
      <c r="L361" s="6"/>
      <c r="M361" s="6" t="s">
        <v>3173</v>
      </c>
      <c r="N361" s="6"/>
      <c r="O361" s="6" t="s">
        <v>3174</v>
      </c>
      <c r="P361" s="6"/>
      <c r="Q361" s="6"/>
      <c r="R361" s="6" t="s">
        <v>3175</v>
      </c>
      <c r="S361" s="6">
        <v>50.739747000000001</v>
      </c>
      <c r="T361" s="6">
        <v>15.346002</v>
      </c>
      <c r="U361" s="6"/>
      <c r="V361" s="6"/>
      <c r="W361" s="6"/>
      <c r="X361" s="6"/>
      <c r="Y361" s="6"/>
      <c r="Z361" s="6"/>
      <c r="AA361" s="6"/>
      <c r="AB361" s="6"/>
      <c r="AD361" s="6"/>
      <c r="AE361" s="16"/>
      <c r="AF361" t="str">
        <f t="shared" si="0"/>
        <v/>
      </c>
    </row>
    <row r="362" spans="1:32">
      <c r="A362" s="6">
        <v>335</v>
      </c>
      <c r="B362" s="6" t="s">
        <v>3176</v>
      </c>
      <c r="C362" s="6" t="s">
        <v>3177</v>
      </c>
      <c r="D362" s="6" t="s">
        <v>555</v>
      </c>
      <c r="E362" s="12" t="s">
        <v>556</v>
      </c>
      <c r="F362" s="6" t="s">
        <v>57</v>
      </c>
      <c r="G362" s="11">
        <v>2015</v>
      </c>
      <c r="H362" s="6">
        <v>2100</v>
      </c>
      <c r="I362" s="13" t="str">
        <f>HYPERLINK("http://www.pivovarznojmo.cz","http://www.pivovarznojmo.cz")</f>
        <v>http://www.pivovarznojmo.cz</v>
      </c>
      <c r="J362" s="13" t="str">
        <f>HYPERLINK("https://www.facebook.com/znojemskepivo","https://www.facebook.com/znojemskepivo")</f>
        <v>https://www.facebook.com/znojemskepivo</v>
      </c>
      <c r="K362" s="6" t="s">
        <v>3178</v>
      </c>
      <c r="L362" s="6"/>
      <c r="M362" s="6" t="s">
        <v>3179</v>
      </c>
      <c r="N362" s="6"/>
      <c r="O362" s="6" t="s">
        <v>3180</v>
      </c>
      <c r="P362" s="6"/>
      <c r="Q362" s="6"/>
      <c r="R362" s="6" t="s">
        <v>560</v>
      </c>
      <c r="S362" s="6">
        <v>48.856231999999899</v>
      </c>
      <c r="T362" s="6">
        <v>16.045102</v>
      </c>
      <c r="U362" s="6"/>
      <c r="V362" s="6"/>
      <c r="W362" s="6"/>
      <c r="X362" s="6"/>
      <c r="Y362" s="6"/>
      <c r="Z362" s="6"/>
      <c r="AA362" s="6"/>
      <c r="AB362" s="6"/>
      <c r="AD362" s="6"/>
      <c r="AE362" s="16"/>
      <c r="AF362" t="str">
        <f t="shared" si="0"/>
        <v/>
      </c>
    </row>
    <row r="363" spans="1:32">
      <c r="A363" s="6">
        <v>336</v>
      </c>
      <c r="B363" s="6" t="s">
        <v>3181</v>
      </c>
      <c r="C363" s="6" t="s">
        <v>3182</v>
      </c>
      <c r="D363" s="6" t="s">
        <v>3183</v>
      </c>
      <c r="E363" s="12" t="s">
        <v>3184</v>
      </c>
      <c r="F363" s="6" t="s">
        <v>38</v>
      </c>
      <c r="G363" s="11">
        <v>2015</v>
      </c>
      <c r="H363" s="6">
        <v>1400</v>
      </c>
      <c r="I363" s="13" t="str">
        <f>HYPERLINK("http://pivovarrezek.cz","http://pivovarrezek.cz")</f>
        <v>http://pivovarrezek.cz</v>
      </c>
      <c r="J363" s="13" t="str">
        <f>HYPERLINK("https://www.facebook.com/www.pivovarrezek.cz","https://www.facebook.com/www.pivovarrezek.cz")</f>
        <v>https://www.facebook.com/www.pivovarrezek.cz</v>
      </c>
      <c r="K363" s="6" t="s">
        <v>3185</v>
      </c>
      <c r="L363" s="6"/>
      <c r="M363" s="6" t="s">
        <v>3186</v>
      </c>
      <c r="N363" s="6" t="s">
        <v>3187</v>
      </c>
      <c r="O363" s="6" t="s">
        <v>3181</v>
      </c>
      <c r="P363" s="6"/>
      <c r="Q363" s="15" t="s">
        <v>3188</v>
      </c>
      <c r="R363" s="6" t="s">
        <v>3189</v>
      </c>
      <c r="S363" s="6">
        <v>50.696674000000002</v>
      </c>
      <c r="T363" s="6">
        <v>15.268373</v>
      </c>
      <c r="U363" s="6"/>
      <c r="V363" s="6"/>
      <c r="W363" s="6"/>
      <c r="X363" s="6"/>
      <c r="Y363" s="6"/>
      <c r="Z363" s="6"/>
      <c r="AA363" s="6" t="s">
        <v>47</v>
      </c>
      <c r="AB363" s="6"/>
      <c r="AD363" s="6"/>
      <c r="AE363" s="17" t="s">
        <v>47</v>
      </c>
      <c r="AF363" t="str">
        <f t="shared" si="0"/>
        <v>ANO</v>
      </c>
    </row>
    <row r="364" spans="1:32">
      <c r="A364" s="6">
        <v>337</v>
      </c>
      <c r="B364" s="6" t="s">
        <v>3190</v>
      </c>
      <c r="C364" s="6" t="s">
        <v>3191</v>
      </c>
      <c r="D364" s="6" t="s">
        <v>636</v>
      </c>
      <c r="E364" s="12" t="s">
        <v>3192</v>
      </c>
      <c r="F364" s="6" t="s">
        <v>38</v>
      </c>
      <c r="G364" s="11">
        <v>2015</v>
      </c>
      <c r="H364" s="6">
        <v>800</v>
      </c>
      <c r="I364" s="13" t="str">
        <f>HYPERLINK("http://www.hrboun.cz","http://www.hrboun.cz")</f>
        <v>http://www.hrboun.cz</v>
      </c>
      <c r="J364" s="13" t="str">
        <f>HYPERLINK("https://www.facebook.com/pivovarhrboun.cz","https://www.facebook.com/pivovarhrboun.cz")</f>
        <v>https://www.facebook.com/pivovarhrboun.cz</v>
      </c>
      <c r="K364" s="6" t="s">
        <v>3193</v>
      </c>
      <c r="L364" s="6"/>
      <c r="M364" s="6" t="s">
        <v>3194</v>
      </c>
      <c r="N364" s="6"/>
      <c r="O364" s="6" t="s">
        <v>3190</v>
      </c>
      <c r="P364" s="6" t="s">
        <v>3195</v>
      </c>
      <c r="Q364" s="6"/>
      <c r="R364" s="6" t="s">
        <v>3196</v>
      </c>
      <c r="S364" s="6">
        <v>49.426327000000001</v>
      </c>
      <c r="T364" s="6">
        <v>15.599069</v>
      </c>
      <c r="U364" s="6"/>
      <c r="V364" s="6"/>
      <c r="W364" s="6"/>
      <c r="X364" s="6"/>
      <c r="Y364" s="6"/>
      <c r="Z364" s="6"/>
      <c r="AA364" s="6"/>
      <c r="AB364" s="6"/>
      <c r="AD364" s="6"/>
      <c r="AE364" s="16"/>
      <c r="AF364" t="str">
        <f t="shared" si="0"/>
        <v/>
      </c>
    </row>
    <row r="365" spans="1:32">
      <c r="A365" s="6">
        <v>338</v>
      </c>
      <c r="B365" s="6" t="s">
        <v>3197</v>
      </c>
      <c r="C365" s="6" t="s">
        <v>3198</v>
      </c>
      <c r="D365" s="6" t="s">
        <v>466</v>
      </c>
      <c r="E365" s="12" t="s">
        <v>3199</v>
      </c>
      <c r="F365" s="6" t="s">
        <v>73</v>
      </c>
      <c r="G365" s="11">
        <v>2015</v>
      </c>
      <c r="H365" s="6"/>
      <c r="I365" s="13" t="str">
        <f>HYPERLINK("http://hasicpivo.cz","http://hasicpivo.cz")</f>
        <v>http://hasicpivo.cz</v>
      </c>
      <c r="J365" s="13" t="str">
        <f>HYPERLINK("https://www.facebook.com/Pivovar-Hasi%C4%8D-904620922926489","https://www.facebook.com/Pivovar-Hasi%C4%8D-904620922926489")</f>
        <v>https://www.facebook.com/Pivovar-Hasi%C4%8D-904620922926489</v>
      </c>
      <c r="K365" s="6" t="s">
        <v>3200</v>
      </c>
      <c r="L365" s="6"/>
      <c r="M365" s="6"/>
      <c r="N365" s="6"/>
      <c r="O365" s="6" t="s">
        <v>3197</v>
      </c>
      <c r="P365" s="6"/>
      <c r="Q365" s="15" t="s">
        <v>3201</v>
      </c>
      <c r="R365" s="6" t="s">
        <v>3202</v>
      </c>
      <c r="S365" s="6">
        <v>49.988253</v>
      </c>
      <c r="T365" s="6">
        <v>17.463041</v>
      </c>
      <c r="U365" s="6"/>
      <c r="V365" s="6"/>
      <c r="W365" s="6"/>
      <c r="X365" s="6"/>
      <c r="Y365" s="6"/>
      <c r="Z365" s="6"/>
      <c r="AA365" s="6" t="s">
        <v>47</v>
      </c>
      <c r="AB365" s="6"/>
      <c r="AD365" s="6" t="s">
        <v>47</v>
      </c>
      <c r="AE365" s="17" t="s">
        <v>47</v>
      </c>
      <c r="AF365" t="str">
        <f t="shared" si="0"/>
        <v>ANO</v>
      </c>
    </row>
    <row r="366" spans="1:32">
      <c r="A366" s="6">
        <v>339</v>
      </c>
      <c r="B366" s="6" t="s">
        <v>218</v>
      </c>
      <c r="C366" s="6" t="s">
        <v>3203</v>
      </c>
      <c r="D366" s="6" t="s">
        <v>218</v>
      </c>
      <c r="E366" s="12" t="s">
        <v>3204</v>
      </c>
      <c r="F366" s="6" t="s">
        <v>38</v>
      </c>
      <c r="G366" s="11">
        <v>2015</v>
      </c>
      <c r="H366" s="6"/>
      <c r="I366" s="13" t="str">
        <f>HYPERLINK("http://www.klatovskepivo.cz","http://www.klatovskepivo.cz")</f>
        <v>http://www.klatovskepivo.cz</v>
      </c>
      <c r="J366" s="13" t="str">
        <f>HYPERLINK("https://www.facebook.com/klatovskepivo","https://www.facebook.com/klatovskepivo")</f>
        <v>https://www.facebook.com/klatovskepivo</v>
      </c>
      <c r="K366" s="6" t="s">
        <v>3205</v>
      </c>
      <c r="L366" s="6"/>
      <c r="M366" s="6"/>
      <c r="N366" s="6"/>
      <c r="O366" s="6" t="s">
        <v>3206</v>
      </c>
      <c r="P366" s="6" t="s">
        <v>3195</v>
      </c>
      <c r="Q366" s="6"/>
      <c r="R366" s="6" t="s">
        <v>3207</v>
      </c>
      <c r="S366" s="6">
        <v>49.399264000000002</v>
      </c>
      <c r="T366" s="6">
        <v>13.287421</v>
      </c>
      <c r="U366" s="6"/>
      <c r="V366" s="6"/>
      <c r="W366" s="6"/>
      <c r="X366" s="6"/>
      <c r="Y366" s="6"/>
      <c r="Z366" s="6"/>
      <c r="AA366" s="6"/>
      <c r="AB366" s="6"/>
      <c r="AD366" s="6"/>
      <c r="AE366" s="16"/>
      <c r="AF366" t="str">
        <f t="shared" si="0"/>
        <v/>
      </c>
    </row>
    <row r="367" spans="1:32">
      <c r="A367" s="6">
        <v>340</v>
      </c>
      <c r="B367" s="6" t="s">
        <v>3208</v>
      </c>
      <c r="C367" s="6" t="s">
        <v>3209</v>
      </c>
      <c r="D367" s="6" t="s">
        <v>3210</v>
      </c>
      <c r="E367" s="12" t="s">
        <v>3211</v>
      </c>
      <c r="F367" s="6" t="s">
        <v>57</v>
      </c>
      <c r="G367" s="11">
        <v>2015</v>
      </c>
      <c r="H367" s="6"/>
      <c r="I367" s="6"/>
      <c r="J367" s="13" t="str">
        <f>HYPERLINK("https://www.facebook.com/Ran%C4%8D-Manner-u-Bohdalic-252046428510721","https://www.facebook.com/Ran%C4%8D-Manner-u-Bohdalic-252046428510721")</f>
        <v>https://www.facebook.com/Ran%C4%8D-Manner-u-Bohdalic-252046428510721</v>
      </c>
      <c r="K367" s="6" t="s">
        <v>3212</v>
      </c>
      <c r="L367" s="6"/>
      <c r="M367" s="6"/>
      <c r="N367" s="6"/>
      <c r="O367" s="6" t="s">
        <v>3208</v>
      </c>
      <c r="P367" s="6" t="s">
        <v>3213</v>
      </c>
      <c r="Q367" s="15" t="s">
        <v>3214</v>
      </c>
      <c r="R367" s="6" t="s">
        <v>3215</v>
      </c>
      <c r="S367" s="6">
        <v>49.222228899999998</v>
      </c>
      <c r="T367" s="6">
        <v>17.039176699999999</v>
      </c>
      <c r="U367" s="6"/>
      <c r="V367" s="6"/>
      <c r="W367" s="6"/>
      <c r="X367" s="6"/>
      <c r="Y367" s="6"/>
      <c r="Z367" s="6"/>
      <c r="AA367" s="6"/>
      <c r="AB367" s="6" t="s">
        <v>47</v>
      </c>
      <c r="AD367" s="6"/>
      <c r="AE367" s="16"/>
      <c r="AF367" t="str">
        <f t="shared" si="0"/>
        <v>ANO</v>
      </c>
    </row>
    <row r="368" spans="1:32">
      <c r="A368" s="6">
        <v>341</v>
      </c>
      <c r="B368" s="6" t="s">
        <v>3216</v>
      </c>
      <c r="C368" s="6" t="s">
        <v>3217</v>
      </c>
      <c r="D368" s="6" t="s">
        <v>3216</v>
      </c>
      <c r="E368" s="12" t="s">
        <v>3218</v>
      </c>
      <c r="F368" s="6" t="s">
        <v>73</v>
      </c>
      <c r="G368" s="11">
        <v>2015</v>
      </c>
      <c r="H368" s="6">
        <v>2200</v>
      </c>
      <c r="I368" s="13" t="str">
        <f>HYPERLINK("http://www.pivovarplasy.cz","http://www.pivovarplasy.cz")</f>
        <v>http://www.pivovarplasy.cz</v>
      </c>
      <c r="J368" s="13" t="str">
        <f>HYPERLINK("https://www.facebook.com/pivovarplasy","https://www.facebook.com/pivovarplasy")</f>
        <v>https://www.facebook.com/pivovarplasy</v>
      </c>
      <c r="K368" s="6" t="s">
        <v>3219</v>
      </c>
      <c r="L368" s="6"/>
      <c r="M368" s="6" t="s">
        <v>3220</v>
      </c>
      <c r="N368" s="6"/>
      <c r="O368" s="6" t="s">
        <v>3221</v>
      </c>
      <c r="P368" s="6"/>
      <c r="Q368" s="15" t="s">
        <v>3222</v>
      </c>
      <c r="R368" s="6" t="s">
        <v>3223</v>
      </c>
      <c r="S368" s="6">
        <v>49.935040000000001</v>
      </c>
      <c r="T368" s="6">
        <v>13.3892039999999</v>
      </c>
      <c r="U368" s="6"/>
      <c r="V368" s="6"/>
      <c r="W368" s="6"/>
      <c r="X368" s="6"/>
      <c r="Y368" s="6"/>
      <c r="Z368" s="6"/>
      <c r="AA368" s="6"/>
      <c r="AB368" s="6" t="s">
        <v>47</v>
      </c>
      <c r="AD368" s="6" t="s">
        <v>47</v>
      </c>
      <c r="AE368" s="17" t="s">
        <v>47</v>
      </c>
      <c r="AF368" t="str">
        <f t="shared" si="0"/>
        <v>ANO</v>
      </c>
    </row>
    <row r="369" spans="1:37">
      <c r="A369" s="6">
        <v>342</v>
      </c>
      <c r="B369" s="6" t="s">
        <v>3225</v>
      </c>
      <c r="C369" s="6" t="s">
        <v>3226</v>
      </c>
      <c r="D369" s="6" t="s">
        <v>3225</v>
      </c>
      <c r="E369" s="12" t="s">
        <v>3227</v>
      </c>
      <c r="F369" s="6" t="s">
        <v>38</v>
      </c>
      <c r="G369" s="11">
        <v>2015</v>
      </c>
      <c r="H369" s="6"/>
      <c r="I369" s="13" t="str">
        <f>HYPERLINK("http://www.pivovarchric.cz","http://www.pivovarchric.cz")</f>
        <v>http://www.pivovarchric.cz</v>
      </c>
      <c r="J369" s="13" t="str">
        <f>HYPERLINK("https://www.facebook.com/propolis.os","https://www.facebook.com/propolis.os")</f>
        <v>https://www.facebook.com/propolis.os</v>
      </c>
      <c r="K369" s="6" t="s">
        <v>3229</v>
      </c>
      <c r="L369" s="6"/>
      <c r="M369" s="6" t="s">
        <v>3230</v>
      </c>
      <c r="N369" s="6"/>
      <c r="O369" s="6" t="s">
        <v>3231</v>
      </c>
      <c r="P369" s="6"/>
      <c r="Q369" s="15" t="s">
        <v>3232</v>
      </c>
      <c r="R369" s="6" t="s">
        <v>3233</v>
      </c>
      <c r="S369" s="6">
        <v>49.971425000000004</v>
      </c>
      <c r="T369" s="6">
        <v>13.648028</v>
      </c>
      <c r="U369" s="6"/>
      <c r="V369" s="6"/>
      <c r="W369" s="6"/>
      <c r="X369" s="6"/>
      <c r="Y369" s="6"/>
      <c r="Z369" s="6"/>
      <c r="AA369" s="6"/>
      <c r="AB369" s="6" t="s">
        <v>47</v>
      </c>
      <c r="AD369" s="6" t="s">
        <v>47</v>
      </c>
      <c r="AE369" s="17" t="s">
        <v>47</v>
      </c>
      <c r="AF369" t="str">
        <f t="shared" si="0"/>
        <v>ANO</v>
      </c>
    </row>
    <row r="370" spans="1:37">
      <c r="A370" s="6">
        <v>343</v>
      </c>
      <c r="B370" s="6" t="s">
        <v>3234</v>
      </c>
      <c r="C370" s="6" t="s">
        <v>3235</v>
      </c>
      <c r="D370" s="6" t="s">
        <v>3234</v>
      </c>
      <c r="E370" s="12" t="s">
        <v>3236</v>
      </c>
      <c r="F370" s="6" t="s">
        <v>38</v>
      </c>
      <c r="G370" s="11">
        <v>2015</v>
      </c>
      <c r="H370" s="6"/>
      <c r="I370" s="13" t="str">
        <f>HYPERLINK("http://www.pivovarkamenice.cz","http://www.pivovarkamenice.cz")</f>
        <v>http://www.pivovarkamenice.cz</v>
      </c>
      <c r="J370" s="13" t="str">
        <f>HYPERLINK("https://www.facebook.com/Pivovar-%C4%8Cesk%C3%A1-Kamenice-1024307694278000","https://www.facebook.com/Pivovar-%C4%8Cesk%C3%A1-Kamenice-1024307694278000")</f>
        <v>https://www.facebook.com/Pivovar-%C4%8Cesk%C3%A1-Kamenice-1024307694278000</v>
      </c>
      <c r="K370" s="6" t="s">
        <v>3237</v>
      </c>
      <c r="L370" s="6"/>
      <c r="M370" s="6" t="s">
        <v>3238</v>
      </c>
      <c r="N370" s="6"/>
      <c r="O370" s="6" t="s">
        <v>3239</v>
      </c>
      <c r="P370" s="6"/>
      <c r="Q370" s="15" t="s">
        <v>3240</v>
      </c>
      <c r="R370" s="6" t="s">
        <v>3241</v>
      </c>
      <c r="S370" s="6">
        <v>50.798029700000001</v>
      </c>
      <c r="T370" s="6">
        <v>14.4148333</v>
      </c>
      <c r="U370" s="6"/>
      <c r="V370" s="6"/>
      <c r="W370" s="6"/>
      <c r="X370" s="6"/>
      <c r="Y370" s="6"/>
      <c r="Z370" s="6"/>
      <c r="AA370" s="6"/>
      <c r="AB370" s="6"/>
      <c r="AD370" s="6" t="s">
        <v>47</v>
      </c>
      <c r="AE370" s="17" t="s">
        <v>47</v>
      </c>
      <c r="AF370" t="str">
        <f t="shared" si="0"/>
        <v>ANO</v>
      </c>
    </row>
    <row r="371" spans="1:37">
      <c r="A371" s="6">
        <v>344</v>
      </c>
      <c r="B371" s="6" t="s">
        <v>3242</v>
      </c>
      <c r="C371" s="6" t="s">
        <v>3243</v>
      </c>
      <c r="D371" s="6" t="s">
        <v>3244</v>
      </c>
      <c r="E371" s="12" t="s">
        <v>3245</v>
      </c>
      <c r="F371" s="6" t="s">
        <v>38</v>
      </c>
      <c r="G371" s="11">
        <v>2015</v>
      </c>
      <c r="H371" s="6"/>
      <c r="I371" s="13" t="str">
        <f>HYPERLINK("http://www.gwern.cz","http://www.gwern.cz")</f>
        <v>http://www.gwern.cz</v>
      </c>
      <c r="J371" s="13" t="str">
        <f>HYPERLINK("https://www.facebook.com/pivovargwern","https://www.facebook.com/pivovargwern")</f>
        <v>https://www.facebook.com/pivovargwern</v>
      </c>
      <c r="K371" s="6" t="s">
        <v>3247</v>
      </c>
      <c r="L371" s="6"/>
      <c r="M371" s="6" t="s">
        <v>3248</v>
      </c>
      <c r="N371" s="6"/>
      <c r="O371" s="6" t="s">
        <v>3242</v>
      </c>
      <c r="P371" s="6" t="s">
        <v>1678</v>
      </c>
      <c r="Q371" s="6"/>
      <c r="R371" s="6" t="s">
        <v>3249</v>
      </c>
      <c r="S371" s="6">
        <v>49.995686999999897</v>
      </c>
      <c r="T371" s="6">
        <v>14.603237</v>
      </c>
      <c r="U371" s="6"/>
      <c r="V371" s="6"/>
      <c r="W371" s="6"/>
      <c r="X371" s="6"/>
      <c r="Y371" s="6"/>
      <c r="Z371" s="6"/>
      <c r="AA371" s="6"/>
      <c r="AB371" s="6"/>
      <c r="AD371" s="6"/>
      <c r="AE371" s="16"/>
      <c r="AF371" t="str">
        <f t="shared" si="0"/>
        <v/>
      </c>
    </row>
    <row r="372" spans="1:37">
      <c r="A372" s="6">
        <v>345</v>
      </c>
      <c r="B372" s="6" t="s">
        <v>3251</v>
      </c>
      <c r="C372" s="6" t="s">
        <v>3252</v>
      </c>
      <c r="D372" s="6" t="s">
        <v>3253</v>
      </c>
      <c r="E372" s="12" t="s">
        <v>3254</v>
      </c>
      <c r="F372" s="6" t="s">
        <v>38</v>
      </c>
      <c r="G372" s="11">
        <v>2015</v>
      </c>
      <c r="H372" s="6"/>
      <c r="I372" s="13" t="str">
        <f>HYPERLINK("http://www.minipivovarnavyhlidce.cz","http://www.minipivovarnavyhlidce.cz")</f>
        <v>http://www.minipivovarnavyhlidce.cz</v>
      </c>
      <c r="J372" s="13" t="str">
        <f>HYPERLINK("https://www.facebook.com/pivovarnavyhlidce","https://www.facebook.com/pivovarnavyhlidce")</f>
        <v>https://www.facebook.com/pivovarnavyhlidce</v>
      </c>
      <c r="K372" s="6" t="s">
        <v>3255</v>
      </c>
      <c r="L372" s="6"/>
      <c r="M372" s="6" t="s">
        <v>3256</v>
      </c>
      <c r="N372" s="6"/>
      <c r="O372" s="6" t="s">
        <v>3257</v>
      </c>
      <c r="P372" s="6"/>
      <c r="Q372" s="6"/>
      <c r="R372" s="6" t="s">
        <v>3258</v>
      </c>
      <c r="S372" s="6">
        <v>48.799225</v>
      </c>
      <c r="T372" s="6">
        <v>17.026682999999899</v>
      </c>
      <c r="U372" s="6"/>
      <c r="V372" s="6"/>
      <c r="W372" s="6"/>
      <c r="X372" s="6"/>
      <c r="Y372" s="6"/>
      <c r="Z372" s="6"/>
      <c r="AA372" s="6"/>
      <c r="AB372" s="6"/>
      <c r="AD372" s="6"/>
      <c r="AE372" s="16"/>
      <c r="AF372" t="str">
        <f t="shared" si="0"/>
        <v/>
      </c>
    </row>
    <row r="373" spans="1:37">
      <c r="A373" s="6">
        <v>346</v>
      </c>
      <c r="B373" s="6" t="s">
        <v>3259</v>
      </c>
      <c r="C373" s="6" t="s">
        <v>3260</v>
      </c>
      <c r="D373" s="6" t="s">
        <v>3259</v>
      </c>
      <c r="E373" s="12" t="s">
        <v>3261</v>
      </c>
      <c r="F373" s="6" t="s">
        <v>57</v>
      </c>
      <c r="G373" s="11">
        <v>2015</v>
      </c>
      <c r="H373" s="6"/>
      <c r="I373" s="13" t="str">
        <f>HYPERLINK("http://www.pivovarhladov.cz","http://www.pivovarhladov.cz")</f>
        <v>http://www.pivovarhladov.cz</v>
      </c>
      <c r="J373" s="13" t="str">
        <f>HYPERLINK("https://www.facebook.com/Pivovar-Hladov-1559866494297642","https://www.facebook.com/Pivovar-Hladov-1559866494297642")</f>
        <v>https://www.facebook.com/Pivovar-Hladov-1559866494297642</v>
      </c>
      <c r="K373" s="6" t="s">
        <v>3262</v>
      </c>
      <c r="L373" s="6"/>
      <c r="M373" s="6" t="s">
        <v>3263</v>
      </c>
      <c r="N373" s="6"/>
      <c r="O373" s="6" t="s">
        <v>3264</v>
      </c>
      <c r="P373" s="6"/>
      <c r="Q373" s="6"/>
      <c r="R373" s="6" t="s">
        <v>3265</v>
      </c>
      <c r="S373" s="6">
        <v>49.210360000000001</v>
      </c>
      <c r="T373" s="6">
        <v>15.610369</v>
      </c>
      <c r="U373" s="6"/>
      <c r="V373" s="6"/>
      <c r="W373" s="6"/>
      <c r="X373" s="6"/>
      <c r="Y373" s="6"/>
      <c r="Z373" s="6"/>
      <c r="AA373" s="6"/>
      <c r="AB373" s="6"/>
      <c r="AD373" s="6"/>
      <c r="AE373" s="16"/>
      <c r="AF373" t="str">
        <f t="shared" si="0"/>
        <v/>
      </c>
    </row>
    <row r="374" spans="1:37">
      <c r="A374" s="19">
        <v>347</v>
      </c>
      <c r="B374" s="20" t="s">
        <v>3266</v>
      </c>
      <c r="C374" s="20" t="s">
        <v>3267</v>
      </c>
      <c r="D374" s="16" t="s">
        <v>3268</v>
      </c>
      <c r="E374" s="23" t="s">
        <v>3269</v>
      </c>
      <c r="F374" s="23" t="s">
        <v>113</v>
      </c>
      <c r="G374" s="24">
        <v>2015.2017000000001</v>
      </c>
      <c r="H374" s="19">
        <v>35</v>
      </c>
      <c r="I374" s="20" t="s">
        <v>3270</v>
      </c>
      <c r="J374" s="20" t="s">
        <v>3271</v>
      </c>
      <c r="K374" s="16" t="s">
        <v>3272</v>
      </c>
      <c r="L374" s="20"/>
      <c r="M374" s="16" t="s">
        <v>3273</v>
      </c>
      <c r="N374" s="20"/>
      <c r="O374" s="16" t="s">
        <v>3274</v>
      </c>
      <c r="P374" s="16" t="s">
        <v>3275</v>
      </c>
      <c r="Q374" s="20"/>
      <c r="R374" s="23" t="s">
        <v>3276</v>
      </c>
      <c r="S374" s="24">
        <v>50.189614400000004</v>
      </c>
      <c r="T374" s="24">
        <v>14.647846700000001</v>
      </c>
      <c r="U374" s="20"/>
      <c r="V374" s="20"/>
      <c r="W374" s="20"/>
      <c r="X374" s="20"/>
      <c r="Y374" s="20"/>
      <c r="Z374" s="20"/>
      <c r="AA374" s="20"/>
      <c r="AB374" s="20"/>
      <c r="AC374" s="20"/>
      <c r="AD374" s="20"/>
      <c r="AE374" s="20"/>
      <c r="AF374" t="str">
        <f t="shared" si="0"/>
        <v/>
      </c>
      <c r="AG374" s="20"/>
      <c r="AH374" s="20"/>
      <c r="AI374" s="20"/>
      <c r="AJ374" s="20"/>
      <c r="AK374" s="20"/>
    </row>
    <row r="375" spans="1:37">
      <c r="A375" s="6">
        <v>347</v>
      </c>
      <c r="B375" s="6" t="s">
        <v>3277</v>
      </c>
      <c r="C375" s="6" t="s">
        <v>3278</v>
      </c>
      <c r="D375" s="6" t="s">
        <v>3279</v>
      </c>
      <c r="E375" s="12" t="s">
        <v>3280</v>
      </c>
      <c r="F375" s="6" t="s">
        <v>73</v>
      </c>
      <c r="G375" s="11">
        <v>2016</v>
      </c>
      <c r="H375" s="6">
        <v>100</v>
      </c>
      <c r="I375" s="13" t="str">
        <f>HYPERLINK("http://www.balonovyhotel.cz","http://www.balonovyhotel.cz")</f>
        <v>http://www.balonovyhotel.cz</v>
      </c>
      <c r="J375" s="13" t="str">
        <f>HYPERLINK("https://www.facebook.com/Bal%C3%B3nov%C3%BD-pivovar-Rade%C5%A1%C3%ADn-1448309242151973","https://www.facebook.com/Bal%C3%B3nov%C3%BD-pivovar-Rade%C5%A1%C3%ADn-1448309242151973")</f>
        <v>https://www.facebook.com/Bal%C3%B3nov%C3%BD-pivovar-Rade%C5%A1%C3%ADn-1448309242151973</v>
      </c>
      <c r="K375" s="6" t="s">
        <v>3281</v>
      </c>
      <c r="L375" s="6"/>
      <c r="M375" s="6" t="s">
        <v>3282</v>
      </c>
      <c r="N375" s="6"/>
      <c r="O375" s="6" t="s">
        <v>3283</v>
      </c>
      <c r="P375" s="6"/>
      <c r="Q375" s="6"/>
      <c r="R375" s="6" t="s">
        <v>3284</v>
      </c>
      <c r="S375" s="6">
        <v>49.4683169999999</v>
      </c>
      <c r="T375" s="6">
        <v>16.0897229999999</v>
      </c>
      <c r="U375" s="6"/>
      <c r="V375" s="6"/>
      <c r="W375" s="6"/>
      <c r="X375" s="6"/>
      <c r="Y375" s="6"/>
      <c r="Z375" s="6"/>
      <c r="AA375" s="6"/>
      <c r="AB375" s="6"/>
      <c r="AD375" s="6"/>
      <c r="AE375" s="16"/>
      <c r="AF375" t="str">
        <f t="shared" si="0"/>
        <v/>
      </c>
    </row>
    <row r="376" spans="1:37">
      <c r="A376" s="6">
        <v>348</v>
      </c>
      <c r="B376" s="6" t="s">
        <v>3285</v>
      </c>
      <c r="C376" s="6" t="s">
        <v>3286</v>
      </c>
      <c r="D376" s="6" t="s">
        <v>1223</v>
      </c>
      <c r="E376" s="12" t="s">
        <v>3287</v>
      </c>
      <c r="F376" s="6" t="s">
        <v>57</v>
      </c>
      <c r="G376" s="11">
        <v>2015</v>
      </c>
      <c r="H376" s="6"/>
      <c r="I376" s="13" t="str">
        <f>HYPERLINK("http://www.nemymedved.cz","http://www.nemymedved.cz")</f>
        <v>http://www.nemymedved.cz</v>
      </c>
      <c r="J376" s="13" t="str">
        <f>HYPERLINK("https://www.facebook.com/nemymedved","https://www.facebook.com/nemymedved")</f>
        <v>https://www.facebook.com/nemymedved</v>
      </c>
      <c r="K376" s="6" t="s">
        <v>3288</v>
      </c>
      <c r="L376" s="6"/>
      <c r="M376" s="6" t="s">
        <v>3289</v>
      </c>
      <c r="N376" s="6"/>
      <c r="O376" s="6" t="s">
        <v>3285</v>
      </c>
      <c r="P376" s="6" t="s">
        <v>3290</v>
      </c>
      <c r="Q376" s="15" t="s">
        <v>3291</v>
      </c>
      <c r="R376" s="6" t="s">
        <v>3292</v>
      </c>
      <c r="S376" s="6">
        <v>50.361907000000002</v>
      </c>
      <c r="T376" s="6">
        <v>14.491338000000001</v>
      </c>
      <c r="U376" s="6"/>
      <c r="V376" s="6"/>
      <c r="W376" s="6"/>
      <c r="X376" s="6"/>
      <c r="Y376" s="6"/>
      <c r="Z376" s="6" t="s">
        <v>47</v>
      </c>
      <c r="AA376" s="6" t="s">
        <v>47</v>
      </c>
      <c r="AB376" s="6"/>
      <c r="AD376" s="6"/>
      <c r="AE376" s="17" t="s">
        <v>47</v>
      </c>
      <c r="AF376" t="str">
        <f t="shared" si="0"/>
        <v>ANO</v>
      </c>
    </row>
    <row r="377" spans="1:37">
      <c r="A377" s="6">
        <v>349</v>
      </c>
      <c r="B377" s="6" t="s">
        <v>3293</v>
      </c>
      <c r="C377" s="6" t="s">
        <v>3294</v>
      </c>
      <c r="D377" s="6" t="s">
        <v>3293</v>
      </c>
      <c r="E377" s="12" t="s">
        <v>3295</v>
      </c>
      <c r="F377" s="6" t="s">
        <v>57</v>
      </c>
      <c r="G377" s="11">
        <v>2015</v>
      </c>
      <c r="H377" s="6"/>
      <c r="I377" s="13" t="str">
        <f>HYPERLINK("http://www.pivovarzbraslavice.cz","http://www.pivovarzbraslavice.cz")</f>
        <v>http://www.pivovarzbraslavice.cz</v>
      </c>
      <c r="J377" s="13" t="str">
        <f>HYPERLINK("https://www.facebook.com/pivovarzbraslavice","https://www.facebook.com/pivovarzbraslavice")</f>
        <v>https://www.facebook.com/pivovarzbraslavice</v>
      </c>
      <c r="K377" s="6" t="s">
        <v>3296</v>
      </c>
      <c r="L377" s="6"/>
      <c r="M377" s="6" t="s">
        <v>3297</v>
      </c>
      <c r="N377" s="6"/>
      <c r="O377" s="6" t="s">
        <v>3298</v>
      </c>
      <c r="P377" s="6"/>
      <c r="Q377" s="6"/>
      <c r="R377" s="6" t="s">
        <v>3299</v>
      </c>
      <c r="S377" s="6">
        <v>49.812375000000003</v>
      </c>
      <c r="T377" s="6">
        <v>15.1815339999999</v>
      </c>
      <c r="U377" s="6"/>
      <c r="V377" s="6"/>
      <c r="W377" s="6"/>
      <c r="X377" s="6"/>
      <c r="Y377" s="6"/>
      <c r="Z377" s="6"/>
      <c r="AA377" s="6"/>
      <c r="AB377" s="6"/>
      <c r="AD377" s="6"/>
      <c r="AE377" s="16"/>
      <c r="AF377" t="str">
        <f t="shared" si="0"/>
        <v/>
      </c>
    </row>
    <row r="378" spans="1:37">
      <c r="A378" s="6">
        <v>350</v>
      </c>
      <c r="B378" s="6" t="s">
        <v>3300</v>
      </c>
      <c r="C378" s="6" t="s">
        <v>3301</v>
      </c>
      <c r="D378" s="6" t="s">
        <v>3302</v>
      </c>
      <c r="E378" s="12" t="s">
        <v>3303</v>
      </c>
      <c r="F378" s="6" t="s">
        <v>73</v>
      </c>
      <c r="G378" s="11">
        <v>2015</v>
      </c>
      <c r="H378" s="6"/>
      <c r="I378" s="13" t="str">
        <f>HYPERLINK("http://www.panskymlynopava.cz","http://www.panskymlynopava.cz")</f>
        <v>http://www.panskymlynopava.cz</v>
      </c>
      <c r="J378" s="13" t="str">
        <f>HYPERLINK("https://www.facebook.com/panskymlyn","https://www.facebook.com/panskymlyn")</f>
        <v>https://www.facebook.com/panskymlyn</v>
      </c>
      <c r="K378" s="6" t="s">
        <v>3305</v>
      </c>
      <c r="L378" s="6"/>
      <c r="M378" s="6"/>
      <c r="N378" s="6"/>
      <c r="O378" s="6" t="s">
        <v>3306</v>
      </c>
      <c r="P378" s="6"/>
      <c r="Q378" s="15" t="s">
        <v>3307</v>
      </c>
      <c r="R378" s="6" t="s">
        <v>3308</v>
      </c>
      <c r="S378" s="6">
        <v>49.907789000000001</v>
      </c>
      <c r="T378" s="6">
        <v>17.911912999999899</v>
      </c>
      <c r="U378" s="6"/>
      <c r="V378" s="6"/>
      <c r="W378" s="6"/>
      <c r="X378" s="6"/>
      <c r="Y378" s="6"/>
      <c r="Z378" s="6"/>
      <c r="AA378" s="6" t="s">
        <v>47</v>
      </c>
      <c r="AB378" s="6"/>
      <c r="AC378" s="9" t="s">
        <v>47</v>
      </c>
      <c r="AD378" s="6" t="s">
        <v>47</v>
      </c>
      <c r="AE378" s="17" t="s">
        <v>47</v>
      </c>
      <c r="AF378" t="str">
        <f t="shared" si="0"/>
        <v>ANO</v>
      </c>
    </row>
    <row r="379" spans="1:37">
      <c r="A379" s="6">
        <v>351</v>
      </c>
      <c r="B379" s="6" t="s">
        <v>3309</v>
      </c>
      <c r="C379" s="6" t="s">
        <v>3310</v>
      </c>
      <c r="D379" s="6" t="s">
        <v>3309</v>
      </c>
      <c r="E379" s="12" t="s">
        <v>3311</v>
      </c>
      <c r="F379" s="6" t="s">
        <v>38</v>
      </c>
      <c r="G379" s="11">
        <v>2015</v>
      </c>
      <c r="H379" s="6"/>
      <c r="I379" s="6"/>
      <c r="J379" s="13" t="str">
        <f>HYPERLINK("https://www.facebook.com/Minipivovar-Kel%C4%8D-849156928494901","https://www.facebook.com/Minipivovar-Kel%C4%8D-849156928494901")</f>
        <v>https://www.facebook.com/Minipivovar-Kel%C4%8D-849156928494901</v>
      </c>
      <c r="K379" s="6" t="s">
        <v>3312</v>
      </c>
      <c r="L379" s="6"/>
      <c r="M379" s="6" t="s">
        <v>3313</v>
      </c>
      <c r="N379" s="6"/>
      <c r="O379" s="6" t="s">
        <v>3314</v>
      </c>
      <c r="P379" s="6" t="s">
        <v>2723</v>
      </c>
      <c r="Q379" s="15" t="s">
        <v>3315</v>
      </c>
      <c r="R379" s="6" t="s">
        <v>3316</v>
      </c>
      <c r="S379" s="6">
        <v>49.474530999999899</v>
      </c>
      <c r="T379" s="6">
        <v>17.822942999999899</v>
      </c>
      <c r="U379" s="6"/>
      <c r="V379" s="6"/>
      <c r="W379" s="6"/>
      <c r="X379" s="6"/>
      <c r="Y379" s="6"/>
      <c r="Z379" s="6"/>
      <c r="AA379" s="6"/>
      <c r="AB379" s="6" t="s">
        <v>47</v>
      </c>
      <c r="AD379" s="6"/>
      <c r="AE379" s="16"/>
      <c r="AF379" t="str">
        <f t="shared" si="0"/>
        <v>ANO</v>
      </c>
    </row>
    <row r="380" spans="1:37">
      <c r="A380" s="6">
        <v>352</v>
      </c>
      <c r="B380" s="6" t="s">
        <v>3317</v>
      </c>
      <c r="C380" s="6" t="s">
        <v>3318</v>
      </c>
      <c r="D380" s="6" t="s">
        <v>419</v>
      </c>
      <c r="E380" s="12" t="s">
        <v>3319</v>
      </c>
      <c r="F380" s="6" t="s">
        <v>73</v>
      </c>
      <c r="G380" s="11">
        <v>2015</v>
      </c>
      <c r="H380" s="6">
        <v>1500</v>
      </c>
      <c r="I380" s="13" t="str">
        <f>HYPERLINK("http://www.pivovarnarodni.cz","http://www.pivovarnarodni.cz")</f>
        <v>http://www.pivovarnarodni.cz</v>
      </c>
      <c r="J380" s="13" t="str">
        <f>HYPERLINK("https://www.facebook.com/pivovarnarodni","https://www.facebook.com/pivovarnarodni")</f>
        <v>https://www.facebook.com/pivovarnarodni</v>
      </c>
      <c r="K380" s="6" t="s">
        <v>3320</v>
      </c>
      <c r="L380" s="6"/>
      <c r="M380" s="6" t="s">
        <v>3321</v>
      </c>
      <c r="N380" s="6"/>
      <c r="O380" s="6" t="s">
        <v>3322</v>
      </c>
      <c r="P380" s="6"/>
      <c r="Q380" s="6"/>
      <c r="R380" s="6" t="s">
        <v>3323</v>
      </c>
      <c r="S380" s="6">
        <v>50.081283999999897</v>
      </c>
      <c r="T380" s="6">
        <v>14.415201</v>
      </c>
      <c r="U380" s="6"/>
      <c r="V380" s="6"/>
      <c r="W380" s="6"/>
      <c r="X380" s="6"/>
      <c r="Y380" s="6"/>
      <c r="Z380" s="6" t="s">
        <v>47</v>
      </c>
      <c r="AA380" s="6"/>
      <c r="AB380" s="6"/>
      <c r="AD380" s="6"/>
      <c r="AE380" s="17" t="s">
        <v>47</v>
      </c>
      <c r="AF380" t="str">
        <f t="shared" si="0"/>
        <v>ANO</v>
      </c>
    </row>
    <row r="381" spans="1:37">
      <c r="A381" s="6">
        <v>353</v>
      </c>
      <c r="B381" s="6" t="s">
        <v>3324</v>
      </c>
      <c r="C381" s="6" t="s">
        <v>3325</v>
      </c>
      <c r="D381" s="6" t="s">
        <v>3324</v>
      </c>
      <c r="E381" s="12" t="s">
        <v>3326</v>
      </c>
      <c r="F381" s="6" t="s">
        <v>57</v>
      </c>
      <c r="G381" s="11">
        <v>2015</v>
      </c>
      <c r="H381" s="6"/>
      <c r="I381" s="13" t="str">
        <f>HYPERLINK("http://pivovarjilovice.cz","http://pivovarjilovice.cz")</f>
        <v>http://pivovarjilovice.cz</v>
      </c>
      <c r="J381" s="13" t="str">
        <f>HYPERLINK("https://www.facebook.com/PivovarJilovice","https://www.facebook.com/PivovarJilovice")</f>
        <v>https://www.facebook.com/PivovarJilovice</v>
      </c>
      <c r="K381" s="6" t="s">
        <v>3327</v>
      </c>
      <c r="L381" s="6"/>
      <c r="M381" s="6" t="s">
        <v>3328</v>
      </c>
      <c r="N381" s="6"/>
      <c r="O381" s="6" t="s">
        <v>3329</v>
      </c>
      <c r="P381" s="6"/>
      <c r="Q381" s="6"/>
      <c r="R381" s="6" t="s">
        <v>3330</v>
      </c>
      <c r="S381" s="6">
        <v>48.883989</v>
      </c>
      <c r="T381" s="6">
        <v>14.731659000000001</v>
      </c>
      <c r="U381" s="6"/>
      <c r="V381" s="6"/>
      <c r="W381" s="6"/>
      <c r="X381" s="6"/>
      <c r="Y381" s="6"/>
      <c r="Z381" s="6"/>
      <c r="AA381" s="6"/>
      <c r="AB381" s="6"/>
      <c r="AD381" s="6"/>
      <c r="AE381" s="16"/>
      <c r="AF381" t="str">
        <f t="shared" si="0"/>
        <v/>
      </c>
    </row>
    <row r="382" spans="1:37">
      <c r="A382" s="6">
        <v>354</v>
      </c>
      <c r="B382" s="6" t="s">
        <v>3331</v>
      </c>
      <c r="C382" s="6" t="s">
        <v>3332</v>
      </c>
      <c r="D382" s="6" t="s">
        <v>3333</v>
      </c>
      <c r="E382" s="12" t="s">
        <v>3334</v>
      </c>
      <c r="F382" s="6" t="s">
        <v>73</v>
      </c>
      <c r="G382" s="11">
        <v>2015</v>
      </c>
      <c r="H382" s="6">
        <v>1000</v>
      </c>
      <c r="I382" s="6"/>
      <c r="J382" s="15" t="s">
        <v>3335</v>
      </c>
      <c r="K382" s="6" t="s">
        <v>3336</v>
      </c>
      <c r="L382" s="6"/>
      <c r="M382" s="6" t="s">
        <v>3337</v>
      </c>
      <c r="N382" s="6"/>
      <c r="O382" s="6" t="s">
        <v>3338</v>
      </c>
      <c r="P382" s="6"/>
      <c r="Q382" s="6"/>
      <c r="R382" s="6" t="s">
        <v>3339</v>
      </c>
      <c r="S382" s="6">
        <v>50.649901</v>
      </c>
      <c r="T382" s="6">
        <v>15.967013</v>
      </c>
      <c r="U382" s="6"/>
      <c r="V382" s="6"/>
      <c r="W382" s="6"/>
      <c r="X382" s="6"/>
      <c r="Y382" s="6"/>
      <c r="Z382" s="6"/>
      <c r="AA382" s="6"/>
      <c r="AB382" s="6"/>
      <c r="AD382" s="6"/>
      <c r="AE382" s="16"/>
      <c r="AF382" t="str">
        <f t="shared" si="0"/>
        <v/>
      </c>
    </row>
    <row r="383" spans="1:37">
      <c r="A383" s="6">
        <v>355</v>
      </c>
      <c r="B383" s="6" t="s">
        <v>3340</v>
      </c>
      <c r="C383" s="6" t="s">
        <v>3341</v>
      </c>
      <c r="D383" s="6" t="s">
        <v>2316</v>
      </c>
      <c r="E383" s="12" t="s">
        <v>3342</v>
      </c>
      <c r="F383" s="6" t="s">
        <v>73</v>
      </c>
      <c r="G383" s="11">
        <v>2015</v>
      </c>
      <c r="H383" s="6"/>
      <c r="I383" s="13" t="str">
        <f>HYPERLINK("http://www.p-h-m.cz","http://www.p-h-m.cz")</f>
        <v>http://www.p-h-m.cz</v>
      </c>
      <c r="J383" s="13" t="str">
        <f>HYPERLINK("https://www.facebook.com/Prvn%C3%AD-hav%C3%AD%C5%99ovsk%C3%BD-minipivovar-627015330768101","https://www.facebook.com/Prvn%C3%AD-hav%C3%AD%C5%99ovsk%C3%BD-minipivovar-627015330768101")</f>
        <v>https://www.facebook.com/Prvn%C3%AD-hav%C3%AD%C5%99ovsk%C3%BD-minipivovar-627015330768101</v>
      </c>
      <c r="K383" s="6" t="s">
        <v>3343</v>
      </c>
      <c r="L383" s="6"/>
      <c r="M383" s="6" t="s">
        <v>3344</v>
      </c>
      <c r="N383" s="6"/>
      <c r="O383" s="6" t="s">
        <v>3345</v>
      </c>
      <c r="P383" s="6"/>
      <c r="Q383" s="15" t="s">
        <v>3346</v>
      </c>
      <c r="R383" s="6" t="s">
        <v>3347</v>
      </c>
      <c r="S383" s="6">
        <v>49.773792</v>
      </c>
      <c r="T383" s="6">
        <v>18.4334659999999</v>
      </c>
      <c r="U383" s="6"/>
      <c r="V383" s="6"/>
      <c r="W383" s="6"/>
      <c r="X383" s="6"/>
      <c r="Y383" s="6"/>
      <c r="Z383" s="6"/>
      <c r="AA383" s="6" t="s">
        <v>47</v>
      </c>
      <c r="AB383" s="6"/>
      <c r="AD383" s="6" t="s">
        <v>47</v>
      </c>
      <c r="AE383" s="17" t="s">
        <v>47</v>
      </c>
      <c r="AF383" t="str">
        <f t="shared" si="0"/>
        <v>ANO</v>
      </c>
    </row>
    <row r="384" spans="1:37">
      <c r="A384" s="6">
        <v>356</v>
      </c>
      <c r="B384" s="6" t="s">
        <v>3348</v>
      </c>
      <c r="C384" s="6" t="s">
        <v>3349</v>
      </c>
      <c r="D384" s="6" t="s">
        <v>3350</v>
      </c>
      <c r="E384" s="12" t="s">
        <v>3351</v>
      </c>
      <c r="F384" s="6" t="s">
        <v>73</v>
      </c>
      <c r="G384" s="11">
        <v>2015</v>
      </c>
      <c r="H384" s="6"/>
      <c r="I384" s="13" t="str">
        <f>HYPERLINK("http://www.olivuvpivovar.cz","http://www.olivuvpivovar.cz")</f>
        <v>http://www.olivuvpivovar.cz</v>
      </c>
      <c r="J384" s="13" t="str">
        <f>HYPERLINK("https://www.facebook.com/Olivuvpivovar","https://www.facebook.com/Olivuvpivovar")</f>
        <v>https://www.facebook.com/Olivuvpivovar</v>
      </c>
      <c r="K384" s="6" t="s">
        <v>3353</v>
      </c>
      <c r="L384" s="6"/>
      <c r="M384" s="6" t="s">
        <v>3354</v>
      </c>
      <c r="N384" s="6"/>
      <c r="O384" s="6" t="s">
        <v>3355</v>
      </c>
      <c r="P384" s="6"/>
      <c r="Q384" s="15" t="s">
        <v>3356</v>
      </c>
      <c r="R384" s="6" t="s">
        <v>3357</v>
      </c>
      <c r="S384" s="6">
        <v>49.962136999999899</v>
      </c>
      <c r="T384" s="6">
        <v>14.456904</v>
      </c>
      <c r="U384" s="6"/>
      <c r="V384" s="6"/>
      <c r="W384" s="6"/>
      <c r="X384" s="6"/>
      <c r="Y384" s="6"/>
      <c r="Z384" s="6"/>
      <c r="AA384" s="6" t="s">
        <v>47</v>
      </c>
      <c r="AB384" s="6"/>
      <c r="AD384" s="6"/>
      <c r="AE384" s="17" t="s">
        <v>47</v>
      </c>
      <c r="AF384" t="str">
        <f t="shared" si="0"/>
        <v>ANO</v>
      </c>
    </row>
    <row r="385" spans="1:32">
      <c r="A385" s="6">
        <v>357</v>
      </c>
      <c r="B385" s="6" t="s">
        <v>3358</v>
      </c>
      <c r="C385" s="6" t="s">
        <v>3359</v>
      </c>
      <c r="D385" s="6" t="s">
        <v>3360</v>
      </c>
      <c r="E385" s="12" t="s">
        <v>3361</v>
      </c>
      <c r="F385" s="6" t="s">
        <v>73</v>
      </c>
      <c r="G385" s="11">
        <v>2015</v>
      </c>
      <c r="H385" s="6">
        <v>50</v>
      </c>
      <c r="I385" s="13" t="str">
        <f>HYPERLINK("http://www.pension-helene.cz","http://www.pension-helene.cz")</f>
        <v>http://www.pension-helene.cz</v>
      </c>
      <c r="J385" s="13" t="str">
        <f>HYPERLINK("https://www.facebook.com/Pension-Helene-298676278905","https://www.facebook.com/Pension-Helene-298676278905")</f>
        <v>https://www.facebook.com/Pension-Helene-298676278905</v>
      </c>
      <c r="K385" s="6" t="s">
        <v>3362</v>
      </c>
      <c r="L385" s="6"/>
      <c r="M385" s="6" t="s">
        <v>3363</v>
      </c>
      <c r="N385" s="6"/>
      <c r="O385" s="6" t="s">
        <v>3364</v>
      </c>
      <c r="P385" s="6"/>
      <c r="Q385" s="15" t="s">
        <v>3365</v>
      </c>
      <c r="R385" s="6" t="s">
        <v>3366</v>
      </c>
      <c r="S385" s="6">
        <v>50.812663000000001</v>
      </c>
      <c r="T385" s="6">
        <v>14.531888</v>
      </c>
      <c r="U385" s="6"/>
      <c r="V385" s="6"/>
      <c r="W385" s="6"/>
      <c r="X385" s="6"/>
      <c r="Y385" s="6"/>
      <c r="Z385" s="6"/>
      <c r="AA385" s="6" t="s">
        <v>47</v>
      </c>
      <c r="AB385" s="6"/>
      <c r="AD385" s="6" t="s">
        <v>47</v>
      </c>
      <c r="AE385" s="17" t="s">
        <v>47</v>
      </c>
      <c r="AF385" t="str">
        <f t="shared" si="0"/>
        <v>ANO</v>
      </c>
    </row>
    <row r="386" spans="1:32">
      <c r="A386" s="6">
        <v>358</v>
      </c>
      <c r="B386" s="6" t="s">
        <v>3368</v>
      </c>
      <c r="C386" s="6" t="s">
        <v>3369</v>
      </c>
      <c r="D386" s="6" t="s">
        <v>3370</v>
      </c>
      <c r="E386" s="12" t="s">
        <v>3371</v>
      </c>
      <c r="F386" s="6" t="s">
        <v>57</v>
      </c>
      <c r="G386" s="11">
        <v>2015</v>
      </c>
      <c r="H386" s="6"/>
      <c r="I386" s="13" t="str">
        <f>HYPERLINK("http://www.pivovarmejto.cz","http://www.pivovarmejto.cz")</f>
        <v>http://www.pivovarmejto.cz</v>
      </c>
      <c r="J386" s="13" t="str">
        <f>HYPERLINK("https://www.facebook.com/pivovarmejto","https://www.facebook.com/pivovarmejto")</f>
        <v>https://www.facebook.com/pivovarmejto</v>
      </c>
      <c r="K386" s="6" t="s">
        <v>3372</v>
      </c>
      <c r="L386" s="6"/>
      <c r="M386" s="6" t="s">
        <v>3373</v>
      </c>
      <c r="N386" s="6" t="s">
        <v>3374</v>
      </c>
      <c r="O386" s="6" t="s">
        <v>3375</v>
      </c>
      <c r="P386" s="6"/>
      <c r="Q386" s="6"/>
      <c r="R386" s="6" t="s">
        <v>3376</v>
      </c>
      <c r="S386" s="6">
        <v>49.949010999999899</v>
      </c>
      <c r="T386" s="6">
        <v>16.1530279999999</v>
      </c>
      <c r="U386" s="6"/>
      <c r="V386" s="6"/>
      <c r="W386" s="6"/>
      <c r="X386" s="6"/>
      <c r="Y386" s="6"/>
      <c r="Z386" s="6"/>
      <c r="AA386" s="6" t="s">
        <v>47</v>
      </c>
      <c r="AB386" s="6"/>
      <c r="AD386" s="6"/>
      <c r="AE386" s="16"/>
      <c r="AF386" t="str">
        <f t="shared" si="0"/>
        <v>ANO</v>
      </c>
    </row>
    <row r="387" spans="1:32">
      <c r="A387" s="6">
        <v>359</v>
      </c>
      <c r="B387" s="6" t="s">
        <v>3377</v>
      </c>
      <c r="C387" s="6" t="s">
        <v>3378</v>
      </c>
      <c r="D387" s="6" t="s">
        <v>3379</v>
      </c>
      <c r="E387" s="12" t="s">
        <v>3380</v>
      </c>
      <c r="F387" s="6" t="s">
        <v>38</v>
      </c>
      <c r="G387" s="11">
        <v>2015</v>
      </c>
      <c r="H387" s="6"/>
      <c r="I387" s="13" t="str">
        <f>HYPERLINK("http://www.pivovarbylnice.cz","http://www.pivovarbylnice.cz")</f>
        <v>http://www.pivovarbylnice.cz</v>
      </c>
      <c r="J387" s="6"/>
      <c r="K387" s="6" t="s">
        <v>3382</v>
      </c>
      <c r="L387" s="6"/>
      <c r="M387" s="6" t="s">
        <v>3383</v>
      </c>
      <c r="N387" s="6"/>
      <c r="O387" s="6" t="s">
        <v>3384</v>
      </c>
      <c r="P387" s="6"/>
      <c r="Q387" s="15" t="s">
        <v>3385</v>
      </c>
      <c r="R387" s="6" t="s">
        <v>3386</v>
      </c>
      <c r="S387" s="6">
        <v>49.077013000000001</v>
      </c>
      <c r="T387" s="6">
        <v>18.010489</v>
      </c>
      <c r="U387" s="6"/>
      <c r="V387" s="6"/>
      <c r="W387" s="6"/>
      <c r="X387" s="6"/>
      <c r="Y387" s="6"/>
      <c r="Z387" s="6"/>
      <c r="AA387" s="6" t="s">
        <v>47</v>
      </c>
      <c r="AB387" s="6"/>
      <c r="AD387" s="6"/>
      <c r="AE387" s="17" t="s">
        <v>47</v>
      </c>
      <c r="AF387" t="str">
        <f t="shared" si="0"/>
        <v>ANO</v>
      </c>
    </row>
    <row r="388" spans="1:32">
      <c r="A388" s="6">
        <v>360</v>
      </c>
      <c r="B388" s="6" t="s">
        <v>3387</v>
      </c>
      <c r="C388" s="6" t="s">
        <v>3388</v>
      </c>
      <c r="D388" s="6" t="s">
        <v>3387</v>
      </c>
      <c r="E388" s="12" t="s">
        <v>3389</v>
      </c>
      <c r="F388" s="6" t="s">
        <v>38</v>
      </c>
      <c r="G388" s="11">
        <v>2015</v>
      </c>
      <c r="H388" s="6">
        <v>1300</v>
      </c>
      <c r="I388" s="13" t="str">
        <f>HYPERLINK("http://www.lobec.cz","http://www.lobec.cz")</f>
        <v>http://www.lobec.cz</v>
      </c>
      <c r="J388" s="13" t="str">
        <f>HYPERLINK("https://www.facebook.com/PivovarLobec","https://www.facebook.com/PivovarLobec")</f>
        <v>https://www.facebook.com/PivovarLobec</v>
      </c>
      <c r="K388" s="6" t="s">
        <v>3390</v>
      </c>
      <c r="L388" s="6"/>
      <c r="M388" s="6" t="s">
        <v>3391</v>
      </c>
      <c r="N388" s="6"/>
      <c r="O388" s="6" t="s">
        <v>3387</v>
      </c>
      <c r="P388" s="6" t="s">
        <v>3392</v>
      </c>
      <c r="Q388" s="6"/>
      <c r="R388" s="6" t="s">
        <v>3393</v>
      </c>
      <c r="S388" s="6">
        <v>50.460971000000001</v>
      </c>
      <c r="T388" s="6">
        <v>14.6667939999999</v>
      </c>
      <c r="U388" s="6"/>
      <c r="V388" s="6"/>
      <c r="W388" s="6"/>
      <c r="X388" s="6"/>
      <c r="Y388" s="6"/>
      <c r="Z388" s="6"/>
      <c r="AA388" s="6"/>
      <c r="AB388" s="6"/>
      <c r="AD388" s="6"/>
      <c r="AE388" s="16"/>
      <c r="AF388" t="str">
        <f t="shared" si="0"/>
        <v/>
      </c>
    </row>
    <row r="389" spans="1:32">
      <c r="A389" s="6">
        <v>361</v>
      </c>
      <c r="B389" s="6" t="s">
        <v>3394</v>
      </c>
      <c r="C389" s="6" t="s">
        <v>3395</v>
      </c>
      <c r="D389" s="6" t="s">
        <v>3114</v>
      </c>
      <c r="E389" s="12" t="s">
        <v>3396</v>
      </c>
      <c r="F389" s="6" t="s">
        <v>38</v>
      </c>
      <c r="G389" s="11">
        <v>2015</v>
      </c>
      <c r="H389" s="6"/>
      <c r="I389" s="13" t="str">
        <f>HYPERLINK("http://ossegg.cz","http://ossegg.cz")</f>
        <v>http://ossegg.cz</v>
      </c>
      <c r="J389" s="13" t="str">
        <f>HYPERLINK("https://www.facebook.com/pivovarossegg15","https://www.facebook.com/pivovarossegg15")</f>
        <v>https://www.facebook.com/pivovarossegg15</v>
      </c>
      <c r="K389" s="6" t="s">
        <v>3397</v>
      </c>
      <c r="L389" s="6"/>
      <c r="M389" s="6" t="s">
        <v>3398</v>
      </c>
      <c r="N389" s="6"/>
      <c r="O389" s="6" t="s">
        <v>3399</v>
      </c>
      <c r="P389" s="6"/>
      <c r="Q389" s="15" t="s">
        <v>3400</v>
      </c>
      <c r="R389" s="6" t="s">
        <v>3401</v>
      </c>
      <c r="S389" s="6">
        <v>50.621738999999899</v>
      </c>
      <c r="T389" s="6">
        <v>13.695341000000001</v>
      </c>
      <c r="U389" s="6"/>
      <c r="V389" s="6"/>
      <c r="W389" s="6"/>
      <c r="X389" s="6"/>
      <c r="Y389" s="6"/>
      <c r="Z389" s="6"/>
      <c r="AA389" s="6" t="s">
        <v>47</v>
      </c>
      <c r="AB389" s="6"/>
      <c r="AD389" s="6" t="s">
        <v>47</v>
      </c>
      <c r="AE389" s="17" t="s">
        <v>47</v>
      </c>
      <c r="AF389" t="str">
        <f t="shared" si="0"/>
        <v>ANO</v>
      </c>
    </row>
    <row r="390" spans="1:32">
      <c r="A390" s="6">
        <v>362</v>
      </c>
      <c r="B390" s="6" t="s">
        <v>3402</v>
      </c>
      <c r="C390" s="6" t="s">
        <v>3403</v>
      </c>
      <c r="D390" s="6" t="s">
        <v>1140</v>
      </c>
      <c r="E390" s="12" t="s">
        <v>3404</v>
      </c>
      <c r="F390" s="6" t="s">
        <v>57</v>
      </c>
      <c r="G390" s="11">
        <v>2015</v>
      </c>
      <c r="H390" s="6"/>
      <c r="I390" s="13" t="str">
        <f>HYPERLINK("http://www.pivovarulenocha.cz","http://www.pivovarulenocha.cz")</f>
        <v>http://www.pivovarulenocha.cz</v>
      </c>
      <c r="J390" s="6"/>
      <c r="K390" s="6" t="s">
        <v>3405</v>
      </c>
      <c r="L390" s="6"/>
      <c r="M390" s="6" t="s">
        <v>3406</v>
      </c>
      <c r="N390" s="6"/>
      <c r="O390" s="6" t="s">
        <v>3407</v>
      </c>
      <c r="P390" s="6"/>
      <c r="Q390" s="6"/>
      <c r="R390" s="6" t="s">
        <v>3408</v>
      </c>
      <c r="S390" s="6">
        <v>49.761586000000001</v>
      </c>
      <c r="T390" s="6">
        <v>13.4343749999999</v>
      </c>
      <c r="U390" s="6"/>
      <c r="V390" s="6"/>
      <c r="W390" s="6"/>
      <c r="X390" s="6"/>
      <c r="Y390" s="6"/>
      <c r="Z390" s="6"/>
      <c r="AA390" s="6"/>
      <c r="AB390" s="6"/>
      <c r="AD390" s="6"/>
      <c r="AE390" s="16"/>
      <c r="AF390" t="str">
        <f t="shared" si="0"/>
        <v/>
      </c>
    </row>
    <row r="391" spans="1:32">
      <c r="A391" s="6">
        <v>363</v>
      </c>
      <c r="B391" s="6" t="s">
        <v>3409</v>
      </c>
      <c r="C391" s="6" t="s">
        <v>3410</v>
      </c>
      <c r="D391" s="6" t="s">
        <v>2007</v>
      </c>
      <c r="E391" s="12" t="s">
        <v>3411</v>
      </c>
      <c r="F391" s="6" t="s">
        <v>73</v>
      </c>
      <c r="G391" s="11">
        <v>2015</v>
      </c>
      <c r="H391" s="6"/>
      <c r="I391" s="13" t="str">
        <f>HYPERLINK("http://www.hradnipivovarhustopece.cz","http://www.hradnipivovarhustopece.cz")</f>
        <v>http://www.hradnipivovarhustopece.cz</v>
      </c>
      <c r="J391" s="13" t="str">
        <f>HYPERLINK("https://www.facebook.com/hradnipivovarhustopece","https://www.facebook.com/hradnipivovarhustopece")</f>
        <v>https://www.facebook.com/hradnipivovarhustopece</v>
      </c>
      <c r="K391" s="6" t="s">
        <v>3412</v>
      </c>
      <c r="L391" s="6"/>
      <c r="M391" s="6"/>
      <c r="N391" s="6"/>
      <c r="O391" s="6" t="s">
        <v>3409</v>
      </c>
      <c r="P391" s="6"/>
      <c r="Q391" s="6"/>
      <c r="R391" s="6" t="s">
        <v>3413</v>
      </c>
      <c r="S391" s="6">
        <v>48.935161999999899</v>
      </c>
      <c r="T391" s="6">
        <v>16.732156</v>
      </c>
      <c r="U391" s="6"/>
      <c r="V391" s="6"/>
      <c r="W391" s="6"/>
      <c r="X391" s="6"/>
      <c r="Y391" s="6"/>
      <c r="Z391" s="6"/>
      <c r="AA391" s="6"/>
      <c r="AB391" s="6"/>
      <c r="AD391" s="6"/>
      <c r="AE391" s="16"/>
      <c r="AF391" t="str">
        <f t="shared" si="0"/>
        <v/>
      </c>
    </row>
    <row r="392" spans="1:32">
      <c r="A392" s="6">
        <v>364</v>
      </c>
      <c r="B392" s="6" t="s">
        <v>3414</v>
      </c>
      <c r="C392" s="6" t="s">
        <v>3415</v>
      </c>
      <c r="D392" s="6" t="s">
        <v>3414</v>
      </c>
      <c r="E392" s="12" t="s">
        <v>3416</v>
      </c>
      <c r="F392" s="6" t="s">
        <v>73</v>
      </c>
      <c r="G392" s="11">
        <v>2015</v>
      </c>
      <c r="H392" s="6">
        <v>2000</v>
      </c>
      <c r="I392" s="13" t="str">
        <f>HYPERLINK("http://www.zamek-ceskyrudolec.cz","http://www.zamek-ceskyrudolec.cz")</f>
        <v>http://www.zamek-ceskyrudolec.cz</v>
      </c>
      <c r="J392" s="13" t="str">
        <f>HYPERLINK("https://www.facebook.com/Pivovar-%C4%8Cesk%C3%BD-Rudolec-115962171786988","https://www.facebook.com/Pivovar-%C4%8Cesk%C3%BD-Rudolec-115962171786988")</f>
        <v>https://www.facebook.com/Pivovar-%C4%8Cesk%C3%BD-Rudolec-115962171786988</v>
      </c>
      <c r="K392" s="6" t="s">
        <v>3417</v>
      </c>
      <c r="L392" s="6"/>
      <c r="M392" s="6" t="s">
        <v>3418</v>
      </c>
      <c r="N392" s="6"/>
      <c r="O392" s="6" t="s">
        <v>3419</v>
      </c>
      <c r="P392" s="6"/>
      <c r="Q392" s="6"/>
      <c r="R392" s="6" t="s">
        <v>3420</v>
      </c>
      <c r="S392" s="6">
        <v>49.066890000000001</v>
      </c>
      <c r="T392" s="6">
        <v>15.325851</v>
      </c>
      <c r="U392" s="6"/>
      <c r="V392" s="6"/>
      <c r="W392" s="6"/>
      <c r="X392" s="6"/>
      <c r="Y392" s="6"/>
      <c r="Z392" s="6"/>
      <c r="AA392" s="6"/>
      <c r="AB392" s="6"/>
      <c r="AD392" s="6"/>
      <c r="AE392" s="16"/>
      <c r="AF392" t="str">
        <f t="shared" si="0"/>
        <v/>
      </c>
    </row>
    <row r="393" spans="1:32">
      <c r="A393" s="6">
        <v>365</v>
      </c>
      <c r="B393" s="6" t="s">
        <v>3422</v>
      </c>
      <c r="C393" s="6" t="s">
        <v>3423</v>
      </c>
      <c r="D393" s="6" t="s">
        <v>950</v>
      </c>
      <c r="E393" s="12" t="s">
        <v>3424</v>
      </c>
      <c r="F393" s="6" t="s">
        <v>73</v>
      </c>
      <c r="G393" s="11">
        <v>2015</v>
      </c>
      <c r="H393" s="6"/>
      <c r="I393" s="13" t="str">
        <f>HYPERLINK("http://www.galant.cz","http://www.galant.cz")</f>
        <v>http://www.galant.cz</v>
      </c>
      <c r="J393" s="13" t="str">
        <f>HYPERLINK("https://www.facebook.com/galantmikulov","https://www.facebook.com/galantmikulov")</f>
        <v>https://www.facebook.com/galantmikulov</v>
      </c>
      <c r="K393" s="6" t="s">
        <v>3425</v>
      </c>
      <c r="L393" s="6"/>
      <c r="M393" s="6" t="s">
        <v>3426</v>
      </c>
      <c r="N393" s="6"/>
      <c r="O393" s="6" t="s">
        <v>3422</v>
      </c>
      <c r="P393" s="6"/>
      <c r="Q393" s="15" t="s">
        <v>3427</v>
      </c>
      <c r="R393" s="6" t="s">
        <v>3428</v>
      </c>
      <c r="S393" s="6">
        <v>48.807592</v>
      </c>
      <c r="T393" s="6">
        <v>16.640639</v>
      </c>
      <c r="U393" s="6"/>
      <c r="V393" s="6"/>
      <c r="W393" s="6"/>
      <c r="X393" s="6"/>
      <c r="Y393" s="6"/>
      <c r="Z393" s="6"/>
      <c r="AA393" s="6"/>
      <c r="AB393" s="6"/>
      <c r="AD393" s="6" t="s">
        <v>47</v>
      </c>
      <c r="AE393" s="17" t="s">
        <v>47</v>
      </c>
      <c r="AF393" t="str">
        <f t="shared" si="0"/>
        <v>ANO</v>
      </c>
    </row>
    <row r="394" spans="1:32">
      <c r="A394" s="6">
        <v>366</v>
      </c>
      <c r="B394" s="6" t="s">
        <v>3429</v>
      </c>
      <c r="C394" s="6" t="s">
        <v>3430</v>
      </c>
      <c r="D394" s="6" t="s">
        <v>3431</v>
      </c>
      <c r="E394" s="12" t="s">
        <v>3432</v>
      </c>
      <c r="F394" s="6" t="s">
        <v>57</v>
      </c>
      <c r="G394" s="11">
        <v>2015</v>
      </c>
      <c r="H394" s="6"/>
      <c r="I394" s="13" t="str">
        <f>HYPERLINK("http://www.resortsobotin.cz","http://www.resortsobotin.cz")</f>
        <v>http://www.resortsobotin.cz</v>
      </c>
      <c r="J394" s="13" t="str">
        <f>HYPERLINK("https://www.facebook.com/ResortSobotin","https://www.facebook.com/ResortSobotin")</f>
        <v>https://www.facebook.com/ResortSobotin</v>
      </c>
      <c r="K394" s="6" t="s">
        <v>3433</v>
      </c>
      <c r="L394" s="6"/>
      <c r="M394" s="6" t="s">
        <v>3434</v>
      </c>
      <c r="N394" s="6"/>
      <c r="O394" s="6" t="s">
        <v>3429</v>
      </c>
      <c r="P394" s="6" t="s">
        <v>3435</v>
      </c>
      <c r="Q394" s="15" t="s">
        <v>3436</v>
      </c>
      <c r="R394" s="6" t="s">
        <v>3437</v>
      </c>
      <c r="S394" s="6">
        <v>50.018307999999898</v>
      </c>
      <c r="T394" s="6">
        <v>17.080887000000001</v>
      </c>
      <c r="U394" s="6"/>
      <c r="V394" s="6"/>
      <c r="W394" s="6"/>
      <c r="X394" s="6"/>
      <c r="Y394" s="6"/>
      <c r="Z394" s="6"/>
      <c r="AA394" s="6"/>
      <c r="AB394" s="6" t="s">
        <v>47</v>
      </c>
      <c r="AD394" s="6" t="s">
        <v>47</v>
      </c>
      <c r="AE394" s="17" t="s">
        <v>47</v>
      </c>
      <c r="AF394" t="str">
        <f t="shared" si="0"/>
        <v>ANO</v>
      </c>
    </row>
    <row r="395" spans="1:32">
      <c r="A395" s="6">
        <v>367</v>
      </c>
      <c r="B395" s="6" t="s">
        <v>3439</v>
      </c>
      <c r="C395" s="6" t="s">
        <v>3440</v>
      </c>
      <c r="D395" s="6" t="s">
        <v>3439</v>
      </c>
      <c r="E395" s="12" t="s">
        <v>3441</v>
      </c>
      <c r="F395" s="6" t="s">
        <v>73</v>
      </c>
      <c r="G395" s="11">
        <v>2015</v>
      </c>
      <c r="H395" s="6"/>
      <c r="I395" s="13" t="str">
        <f>HYPERLINK("http://www.prisov.cz","http://www.prisov.cz")</f>
        <v>http://www.prisov.cz</v>
      </c>
      <c r="J395" s="13" t="str">
        <f>HYPERLINK("https://www.facebook.com/Restaurace-a-Minipivovar-P%C5%99%C3%AD%C5%A1ov-1547323172167594","https://www.facebook.com/Restaurace-a-Minipivovar-P%C5%99%C3%AD%C5%A1ov-1547323172167594")</f>
        <v>https://www.facebook.com/Restaurace-a-Minipivovar-P%C5%99%C3%AD%C5%A1ov-1547323172167594</v>
      </c>
      <c r="K395" s="6" t="s">
        <v>3444</v>
      </c>
      <c r="L395" s="6"/>
      <c r="M395" s="6" t="s">
        <v>3445</v>
      </c>
      <c r="N395" s="6"/>
      <c r="O395" s="6" t="s">
        <v>3446</v>
      </c>
      <c r="P395" s="6"/>
      <c r="Q395" s="15" t="s">
        <v>3447</v>
      </c>
      <c r="R395" s="6" t="s">
        <v>3448</v>
      </c>
      <c r="S395" s="6">
        <v>49.811903999999899</v>
      </c>
      <c r="T395" s="6">
        <v>13.303872</v>
      </c>
      <c r="U395" s="6"/>
      <c r="V395" s="6"/>
      <c r="W395" s="6"/>
      <c r="X395" s="6"/>
      <c r="Y395" s="6"/>
      <c r="Z395" s="6"/>
      <c r="AA395" s="6"/>
      <c r="AB395" s="6" t="s">
        <v>47</v>
      </c>
      <c r="AD395" s="6" t="s">
        <v>47</v>
      </c>
      <c r="AE395" s="17" t="s">
        <v>47</v>
      </c>
      <c r="AF395" t="str">
        <f t="shared" si="0"/>
        <v>ANO</v>
      </c>
    </row>
    <row r="396" spans="1:32">
      <c r="A396" s="6">
        <v>368</v>
      </c>
      <c r="B396" s="6" t="s">
        <v>3449</v>
      </c>
      <c r="C396" s="6" t="s">
        <v>3450</v>
      </c>
      <c r="D396" s="6" t="s">
        <v>135</v>
      </c>
      <c r="E396" s="12" t="s">
        <v>3451</v>
      </c>
      <c r="F396" s="6" t="s">
        <v>38</v>
      </c>
      <c r="G396" s="11">
        <v>2016</v>
      </c>
      <c r="H396" s="6">
        <v>400</v>
      </c>
      <c r="I396" s="13" t="str">
        <f>HYPERLINK("http://pivovarcechovka.cz","http://pivovarcechovka.cz")</f>
        <v>http://pivovarcechovka.cz</v>
      </c>
      <c r="J396" s="13" t="str">
        <f>HYPERLINK("https://www.facebook.com/pivovarcechovka","https://www.facebook.com/pivovarcechovka")</f>
        <v>https://www.facebook.com/pivovarcechovka</v>
      </c>
      <c r="K396" s="6" t="s">
        <v>3452</v>
      </c>
      <c r="L396" s="6"/>
      <c r="M396" s="6" t="s">
        <v>3453</v>
      </c>
      <c r="N396" s="6"/>
      <c r="O396" s="6" t="s">
        <v>3454</v>
      </c>
      <c r="P396" s="6" t="s">
        <v>3455</v>
      </c>
      <c r="Q396" s="6"/>
      <c r="R396" s="6" t="s">
        <v>3456</v>
      </c>
      <c r="S396" s="6">
        <v>49.600209399999997</v>
      </c>
      <c r="T396" s="6">
        <v>15.568601900000001</v>
      </c>
      <c r="U396" s="6"/>
      <c r="V396" s="6"/>
      <c r="W396" s="6"/>
      <c r="X396" s="6"/>
      <c r="Y396" s="6"/>
      <c r="Z396" s="6"/>
      <c r="AA396" s="6"/>
      <c r="AB396" s="6"/>
      <c r="AD396" s="6"/>
      <c r="AE396" s="16"/>
      <c r="AF396" t="str">
        <f t="shared" si="0"/>
        <v/>
      </c>
    </row>
    <row r="397" spans="1:32">
      <c r="A397" s="6">
        <v>369</v>
      </c>
      <c r="B397" s="6" t="s">
        <v>3457</v>
      </c>
      <c r="C397" s="6" t="s">
        <v>3458</v>
      </c>
      <c r="D397" s="6" t="s">
        <v>3457</v>
      </c>
      <c r="E397" s="12" t="s">
        <v>3459</v>
      </c>
      <c r="F397" s="6" t="s">
        <v>38</v>
      </c>
      <c r="G397" s="11">
        <v>2017</v>
      </c>
      <c r="H397" s="6"/>
      <c r="I397" s="13" t="str">
        <f>HYPERLINK("http://pivovarkozojedy.cz","http://pivovarkozojedy.cz")</f>
        <v>http://pivovarkozojedy.cz</v>
      </c>
      <c r="J397" s="13" t="str">
        <f>HYPERLINK("https://www.facebook.com/Pivovar-a-hospoda-v-Kozojedech-922815767825624","https://www.facebook.com/Pivovar-a-hospoda-v-Kozojedech-922815767825624")</f>
        <v>https://www.facebook.com/Pivovar-a-hospoda-v-Kozojedech-922815767825624</v>
      </c>
      <c r="K397" s="6" t="s">
        <v>3460</v>
      </c>
      <c r="L397" s="6"/>
      <c r="M397" s="6" t="s">
        <v>3461</v>
      </c>
      <c r="N397" s="6"/>
      <c r="O397" s="6" t="s">
        <v>3457</v>
      </c>
      <c r="P397" s="6"/>
      <c r="Q397" s="15" t="s">
        <v>3462</v>
      </c>
      <c r="R397" s="6" t="s">
        <v>3463</v>
      </c>
      <c r="S397" s="6">
        <v>49.9334828</v>
      </c>
      <c r="T397" s="6">
        <v>13.5423019</v>
      </c>
      <c r="U397" s="6"/>
      <c r="V397" s="6"/>
      <c r="W397" s="6"/>
      <c r="X397" s="6"/>
      <c r="Y397" s="6"/>
      <c r="Z397" s="6"/>
      <c r="AA397" s="6"/>
      <c r="AB397" s="6" t="s">
        <v>47</v>
      </c>
      <c r="AD397" s="6" t="s">
        <v>47</v>
      </c>
      <c r="AE397" s="17" t="s">
        <v>47</v>
      </c>
      <c r="AF397" t="str">
        <f t="shared" si="0"/>
        <v>ANO</v>
      </c>
    </row>
    <row r="398" spans="1:32">
      <c r="A398" s="6">
        <v>370</v>
      </c>
      <c r="B398" s="6" t="s">
        <v>3464</v>
      </c>
      <c r="C398" s="6" t="s">
        <v>3465</v>
      </c>
      <c r="D398" s="6" t="s">
        <v>3466</v>
      </c>
      <c r="E398" s="12" t="s">
        <v>3467</v>
      </c>
      <c r="F398" s="6" t="s">
        <v>73</v>
      </c>
      <c r="G398" s="11">
        <v>2017</v>
      </c>
      <c r="H398" s="6">
        <v>1000</v>
      </c>
      <c r="I398" s="15" t="s">
        <v>3468</v>
      </c>
      <c r="J398" s="13" t="str">
        <f>HYPERLINK("https://www.facebook.com/pivovarhluboka","https://www.facebook.com/pivovarhluboka")</f>
        <v>https://www.facebook.com/pivovarhluboka</v>
      </c>
      <c r="K398" s="6" t="s">
        <v>3470</v>
      </c>
      <c r="L398" s="6"/>
      <c r="M398" s="6" t="s">
        <v>3471</v>
      </c>
      <c r="N398" s="6"/>
      <c r="O398" s="6" t="s">
        <v>3472</v>
      </c>
      <c r="P398" s="6"/>
      <c r="Q398" s="6"/>
      <c r="R398" s="6" t="s">
        <v>3473</v>
      </c>
      <c r="S398" s="6">
        <v>49.050970300000003</v>
      </c>
      <c r="T398" s="6">
        <v>14.4360392</v>
      </c>
      <c r="U398" s="6"/>
      <c r="V398" s="6"/>
      <c r="W398" s="6"/>
      <c r="X398" s="6"/>
      <c r="Y398" s="6"/>
      <c r="Z398" s="6"/>
      <c r="AA398" s="6"/>
      <c r="AB398" s="6"/>
      <c r="AD398" s="6"/>
      <c r="AE398" s="16"/>
      <c r="AF398" t="str">
        <f t="shared" si="0"/>
        <v/>
      </c>
    </row>
    <row r="399" spans="1:32">
      <c r="A399" s="6">
        <v>371</v>
      </c>
      <c r="B399" s="12" t="s">
        <v>3474</v>
      </c>
      <c r="C399" s="12" t="s">
        <v>3475</v>
      </c>
      <c r="D399" s="6" t="s">
        <v>3476</v>
      </c>
      <c r="E399" s="12" t="s">
        <v>3477</v>
      </c>
      <c r="F399" s="12" t="s">
        <v>73</v>
      </c>
      <c r="G399" s="11">
        <v>2017</v>
      </c>
      <c r="H399" s="6"/>
      <c r="I399" s="15" t="s">
        <v>3478</v>
      </c>
      <c r="J399" s="31" t="s">
        <v>3479</v>
      </c>
      <c r="K399" s="40" t="s">
        <v>3480</v>
      </c>
      <c r="L399" s="6"/>
      <c r="M399" s="6" t="s">
        <v>3481</v>
      </c>
      <c r="N399" s="12" t="s">
        <v>3482</v>
      </c>
      <c r="O399" s="12" t="s">
        <v>3483</v>
      </c>
      <c r="P399" s="6"/>
      <c r="Q399" s="15" t="s">
        <v>3484</v>
      </c>
      <c r="R399" s="6" t="s">
        <v>3485</v>
      </c>
      <c r="S399" s="6">
        <v>49.535480800000002</v>
      </c>
      <c r="T399" s="6">
        <v>18.2948156</v>
      </c>
      <c r="U399" s="6"/>
      <c r="V399" s="6"/>
      <c r="W399" s="6"/>
      <c r="X399" s="6"/>
      <c r="Y399" s="6"/>
      <c r="Z399" s="6"/>
      <c r="AA399" s="6"/>
      <c r="AB399" s="6" t="s">
        <v>47</v>
      </c>
      <c r="AD399" s="6" t="s">
        <v>47</v>
      </c>
      <c r="AE399" s="17" t="s">
        <v>47</v>
      </c>
      <c r="AF399" t="str">
        <f t="shared" si="0"/>
        <v>ANO</v>
      </c>
    </row>
    <row r="400" spans="1:32">
      <c r="A400" s="6">
        <v>372</v>
      </c>
      <c r="B400" s="6" t="s">
        <v>3486</v>
      </c>
      <c r="C400" s="6" t="s">
        <v>3487</v>
      </c>
      <c r="D400" s="6" t="s">
        <v>953</v>
      </c>
      <c r="E400" s="12" t="s">
        <v>3488</v>
      </c>
      <c r="F400" s="6" t="s">
        <v>73</v>
      </c>
      <c r="G400" s="11">
        <v>2017</v>
      </c>
      <c r="H400" s="6">
        <v>2500</v>
      </c>
      <c r="I400" s="13" t="str">
        <f>HYPERLINK("http://www.pivovargrado.cz","http://www.pivovargrado.cz")</f>
        <v>http://www.pivovargrado.cz</v>
      </c>
      <c r="J400" s="13" t="str">
        <f>HYPERLINK("https://www.facebook.com/gradotisnov","https://www.facebook.com/gradotisnov")</f>
        <v>https://www.facebook.com/gradotisnov</v>
      </c>
      <c r="K400" s="6" t="s">
        <v>3489</v>
      </c>
      <c r="L400" s="6"/>
      <c r="M400" s="6" t="s">
        <v>3490</v>
      </c>
      <c r="N400" s="6"/>
      <c r="O400" s="6" t="s">
        <v>3486</v>
      </c>
      <c r="P400" s="6"/>
      <c r="Q400" s="15" t="s">
        <v>3491</v>
      </c>
      <c r="R400" s="12" t="s">
        <v>3492</v>
      </c>
      <c r="S400" s="12">
        <v>49.341231100000002</v>
      </c>
      <c r="T400" s="12">
        <v>16.420173299999998</v>
      </c>
      <c r="U400" s="6"/>
      <c r="V400" s="6"/>
      <c r="W400" s="6"/>
      <c r="X400" s="6"/>
      <c r="Y400" s="6"/>
      <c r="Z400" s="6"/>
      <c r="AA400" s="6"/>
      <c r="AB400" s="6"/>
      <c r="AC400" s="9" t="s">
        <v>47</v>
      </c>
      <c r="AD400" s="6"/>
      <c r="AE400" s="17" t="s">
        <v>47</v>
      </c>
      <c r="AF400" t="str">
        <f t="shared" si="0"/>
        <v>ANO</v>
      </c>
    </row>
    <row r="401" spans="1:32">
      <c r="A401" s="6">
        <v>373</v>
      </c>
      <c r="B401" s="6" t="s">
        <v>3493</v>
      </c>
      <c r="C401" s="6" t="s">
        <v>3494</v>
      </c>
      <c r="D401" s="6" t="s">
        <v>3495</v>
      </c>
      <c r="E401" s="12" t="s">
        <v>3496</v>
      </c>
      <c r="F401" s="6" t="s">
        <v>57</v>
      </c>
      <c r="G401" s="11">
        <v>2016</v>
      </c>
      <c r="H401" s="6"/>
      <c r="I401" s="6"/>
      <c r="J401" s="15" t="s">
        <v>3497</v>
      </c>
      <c r="K401" s="6" t="s">
        <v>3498</v>
      </c>
      <c r="L401" s="6"/>
      <c r="M401" s="6" t="s">
        <v>3499</v>
      </c>
      <c r="N401" s="6"/>
      <c r="O401" s="6" t="s">
        <v>3500</v>
      </c>
      <c r="P401" s="6"/>
      <c r="Q401" s="6"/>
      <c r="R401" s="6" t="s">
        <v>3501</v>
      </c>
      <c r="S401" s="6">
        <v>49.296581400000001</v>
      </c>
      <c r="T401" s="6">
        <v>14.622842199999999</v>
      </c>
      <c r="U401" s="6"/>
      <c r="V401" s="6"/>
      <c r="W401" s="6"/>
      <c r="X401" s="6"/>
      <c r="Y401" s="6"/>
      <c r="Z401" s="6"/>
      <c r="AA401" s="6"/>
      <c r="AB401" s="6"/>
      <c r="AD401" s="6"/>
      <c r="AE401" s="16"/>
      <c r="AF401" t="str">
        <f t="shared" si="0"/>
        <v/>
      </c>
    </row>
    <row r="402" spans="1:32">
      <c r="A402" s="6">
        <v>374</v>
      </c>
      <c r="B402" s="6" t="s">
        <v>3502</v>
      </c>
      <c r="C402" s="6" t="s">
        <v>3503</v>
      </c>
      <c r="D402" s="6" t="s">
        <v>3502</v>
      </c>
      <c r="E402" s="12" t="s">
        <v>3504</v>
      </c>
      <c r="F402" s="6" t="s">
        <v>73</v>
      </c>
      <c r="G402" s="11">
        <v>2017</v>
      </c>
      <c r="H402" s="6"/>
      <c r="I402" s="13" t="str">
        <f>HYPERLINK("http://www.pivovarkytin.cz","http://www.pivovarkytin.cz")</f>
        <v>http://www.pivovarkytin.cz</v>
      </c>
      <c r="J402" s="13" t="str">
        <f>HYPERLINK("https://www.facebook.com/PivovarKytin","https://www.facebook.com/PivovarKytin")</f>
        <v>https://www.facebook.com/PivovarKytin</v>
      </c>
      <c r="K402" s="6" t="s">
        <v>3505</v>
      </c>
      <c r="L402" s="6"/>
      <c r="M402" s="6" t="s">
        <v>3506</v>
      </c>
      <c r="N402" s="6"/>
      <c r="O402" s="6" t="s">
        <v>3507</v>
      </c>
      <c r="P402" s="6"/>
      <c r="Q402" s="6"/>
      <c r="R402" s="6" t="s">
        <v>3508</v>
      </c>
      <c r="S402" s="6">
        <v>49.850796899999999</v>
      </c>
      <c r="T402" s="6">
        <v>14.219290300000001</v>
      </c>
      <c r="U402" s="6"/>
      <c r="V402" s="6"/>
      <c r="W402" s="6"/>
      <c r="X402" s="6"/>
      <c r="Y402" s="6"/>
      <c r="Z402" s="6"/>
      <c r="AA402" s="6"/>
      <c r="AB402" s="6"/>
      <c r="AD402" s="6"/>
      <c r="AE402" s="16"/>
      <c r="AF402" t="str">
        <f t="shared" si="0"/>
        <v/>
      </c>
    </row>
    <row r="403" spans="1:32">
      <c r="A403" s="6">
        <v>375</v>
      </c>
      <c r="B403" s="6" t="s">
        <v>3509</v>
      </c>
      <c r="C403" s="6" t="s">
        <v>3510</v>
      </c>
      <c r="D403" s="6" t="s">
        <v>711</v>
      </c>
      <c r="E403" s="12" t="s">
        <v>3511</v>
      </c>
      <c r="F403" s="6" t="s">
        <v>73</v>
      </c>
      <c r="G403" s="11">
        <v>2017</v>
      </c>
      <c r="H403" s="6">
        <v>1500</v>
      </c>
      <c r="I403" s="13" t="str">
        <f>HYPERLINK("http://www.pivolod.cz","http://www.pivolod.cz")</f>
        <v>http://www.pivolod.cz</v>
      </c>
      <c r="J403" s="13" t="str">
        <f>HYPERLINK("https://www.facebook.com/Lo%C4%8F-Pivovar-1333568129987327","https://www.facebook.com/Lo%C4%8F-Pivovar-1333568129987327")</f>
        <v>https://www.facebook.com/Lo%C4%8F-Pivovar-1333568129987327</v>
      </c>
      <c r="K403" s="6" t="s">
        <v>3512</v>
      </c>
      <c r="L403" s="6"/>
      <c r="M403" s="6" t="s">
        <v>3513</v>
      </c>
      <c r="N403" s="6"/>
      <c r="O403" s="6" t="s">
        <v>3514</v>
      </c>
      <c r="P403" s="6"/>
      <c r="Q403" s="15" t="s">
        <v>3515</v>
      </c>
      <c r="R403" s="6" t="s">
        <v>3516</v>
      </c>
      <c r="S403" s="6">
        <v>50.093464699999998</v>
      </c>
      <c r="T403" s="6">
        <v>14.4263517</v>
      </c>
      <c r="U403" s="6"/>
      <c r="V403" s="6"/>
      <c r="W403" s="6"/>
      <c r="X403" s="6"/>
      <c r="Y403" s="6"/>
      <c r="Z403" s="6"/>
      <c r="AA403" s="6"/>
      <c r="AB403" s="6" t="s">
        <v>47</v>
      </c>
      <c r="AD403" s="6" t="s">
        <v>47</v>
      </c>
      <c r="AE403" s="17" t="s">
        <v>47</v>
      </c>
      <c r="AF403" t="str">
        <f t="shared" si="0"/>
        <v>ANO</v>
      </c>
    </row>
    <row r="404" spans="1:32">
      <c r="A404" s="6">
        <v>376</v>
      </c>
      <c r="B404" s="6" t="s">
        <v>3517</v>
      </c>
      <c r="C404" s="6" t="s">
        <v>3518</v>
      </c>
      <c r="D404" s="6" t="s">
        <v>3517</v>
      </c>
      <c r="E404" s="12" t="s">
        <v>3519</v>
      </c>
      <c r="F404" s="6" t="s">
        <v>38</v>
      </c>
      <c r="G404" s="11">
        <v>2017</v>
      </c>
      <c r="H404" s="6">
        <v>1500</v>
      </c>
      <c r="I404" s="13" t="str">
        <f>HYPERLINK("http://www.pivovarmalesov.cz","http://www.pivovarmalesov.cz")</f>
        <v>http://www.pivovarmalesov.cz</v>
      </c>
      <c r="J404" s="13" t="str">
        <f>HYPERLINK("https://www.facebook.com/pivovarmalesov","https://www.facebook.com/pivovarmalesov")</f>
        <v>https://www.facebook.com/pivovarmalesov</v>
      </c>
      <c r="K404" s="6" t="s">
        <v>3521</v>
      </c>
      <c r="L404" s="6"/>
      <c r="M404" s="6" t="s">
        <v>3522</v>
      </c>
      <c r="N404" s="6"/>
      <c r="O404" s="6" t="s">
        <v>3517</v>
      </c>
      <c r="P404" s="6"/>
      <c r="Q404" s="6"/>
      <c r="R404" s="6" t="s">
        <v>3523</v>
      </c>
      <c r="S404" s="6">
        <v>49.911437800000002</v>
      </c>
      <c r="T404" s="6">
        <v>15.221943100000001</v>
      </c>
      <c r="U404" s="6"/>
      <c r="V404" s="6"/>
      <c r="W404" s="6"/>
      <c r="X404" s="6"/>
      <c r="Y404" s="6"/>
      <c r="Z404" s="6"/>
      <c r="AA404" s="6"/>
      <c r="AB404" s="6"/>
      <c r="AC404" s="9" t="s">
        <v>47</v>
      </c>
      <c r="AD404" s="6"/>
      <c r="AE404" s="17" t="s">
        <v>47</v>
      </c>
      <c r="AF404" t="str">
        <f t="shared" si="0"/>
        <v>ANO</v>
      </c>
    </row>
    <row r="405" spans="1:32">
      <c r="A405" s="6">
        <v>377</v>
      </c>
      <c r="B405" s="6" t="s">
        <v>3524</v>
      </c>
      <c r="C405" s="6" t="s">
        <v>3525</v>
      </c>
      <c r="D405" s="6" t="s">
        <v>3526</v>
      </c>
      <c r="E405" s="12" t="s">
        <v>3527</v>
      </c>
      <c r="F405" s="6" t="s">
        <v>57</v>
      </c>
      <c r="G405" s="11">
        <v>2017</v>
      </c>
      <c r="H405" s="6">
        <v>4800</v>
      </c>
      <c r="I405" s="13" t="str">
        <f>HYPERLINK("http://jarosovskypivovar.cz","http://jarosovskypivovar.cz")</f>
        <v>http://jarosovskypivovar.cz</v>
      </c>
      <c r="J405" s="13" t="str">
        <f>HYPERLINK("https://www.facebook.com/jarosovskypivovar","https://www.facebook.com/jarosovskypivovar")</f>
        <v>https://www.facebook.com/jarosovskypivovar</v>
      </c>
      <c r="K405" s="6" t="s">
        <v>3528</v>
      </c>
      <c r="L405" s="6"/>
      <c r="M405" s="6" t="s">
        <v>3529</v>
      </c>
      <c r="N405" s="6"/>
      <c r="O405" s="6" t="s">
        <v>3530</v>
      </c>
      <c r="P405" s="6"/>
      <c r="Q405" s="6"/>
      <c r="R405" s="6" t="s">
        <v>3531</v>
      </c>
      <c r="S405" s="6">
        <v>49.0826481</v>
      </c>
      <c r="T405" s="6">
        <v>17.490493900000001</v>
      </c>
      <c r="U405" s="6"/>
      <c r="V405" s="6"/>
      <c r="W405" s="6"/>
      <c r="X405" s="6"/>
      <c r="Y405" s="6"/>
      <c r="Z405" s="6"/>
      <c r="AA405" s="6"/>
      <c r="AB405" s="6"/>
      <c r="AD405" s="6"/>
      <c r="AE405" s="16"/>
      <c r="AF405" t="str">
        <f t="shared" si="0"/>
        <v/>
      </c>
    </row>
    <row r="406" spans="1:32">
      <c r="A406" s="6">
        <v>378</v>
      </c>
      <c r="B406" s="6" t="s">
        <v>3532</v>
      </c>
      <c r="C406" s="6" t="s">
        <v>3533</v>
      </c>
      <c r="D406" s="6" t="s">
        <v>3534</v>
      </c>
      <c r="E406" s="12" t="s">
        <v>3535</v>
      </c>
      <c r="F406" s="6" t="s">
        <v>57</v>
      </c>
      <c r="G406" s="11">
        <v>2017</v>
      </c>
      <c r="H406" s="6"/>
      <c r="I406" s="6"/>
      <c r="J406" s="13" t="str">
        <f>HYPERLINK("https://www.facebook.com/pivovarusenkyru","https://www.facebook.com/pivovarusenkyru")</f>
        <v>https://www.facebook.com/pivovarusenkyru</v>
      </c>
      <c r="K406" s="6" t="s">
        <v>3536</v>
      </c>
      <c r="L406" s="6"/>
      <c r="M406" s="6" t="s">
        <v>3537</v>
      </c>
      <c r="N406" s="6"/>
      <c r="O406" s="6" t="s">
        <v>3538</v>
      </c>
      <c r="P406" s="6"/>
      <c r="Q406" s="6"/>
      <c r="R406" s="6" t="s">
        <v>3539</v>
      </c>
      <c r="S406" s="28">
        <v>49.659638600000001</v>
      </c>
      <c r="T406" s="28">
        <v>13.5262092</v>
      </c>
      <c r="U406" s="6"/>
      <c r="V406" s="6"/>
      <c r="W406" s="6"/>
      <c r="X406" s="6"/>
      <c r="Y406" s="6"/>
      <c r="Z406" s="6"/>
      <c r="AA406" s="6"/>
      <c r="AB406" s="6"/>
      <c r="AD406" s="6"/>
      <c r="AE406" s="16"/>
      <c r="AF406" t="str">
        <f t="shared" si="0"/>
        <v/>
      </c>
    </row>
    <row r="407" spans="1:32">
      <c r="A407" s="6">
        <v>379</v>
      </c>
      <c r="B407" s="6" t="s">
        <v>3540</v>
      </c>
      <c r="C407" s="6" t="s">
        <v>3541</v>
      </c>
      <c r="D407" s="6" t="s">
        <v>3542</v>
      </c>
      <c r="E407" s="12" t="s">
        <v>3543</v>
      </c>
      <c r="F407" s="6" t="s">
        <v>57</v>
      </c>
      <c r="G407" s="11">
        <v>2017</v>
      </c>
      <c r="H407" s="6"/>
      <c r="I407" s="13" t="str">
        <f>HYPERLINK("http://www.pivomasa.cz","http://www.pivomasa.cz")</f>
        <v>http://www.pivomasa.cz</v>
      </c>
      <c r="J407" s="13" t="str">
        <f>HYPERLINK("https://www.facebook.com/pivovarmasa.cz","https://www.facebook.com/pivovarmasa.cz")</f>
        <v>https://www.facebook.com/pivovarmasa.cz</v>
      </c>
      <c r="K407" s="6" t="s">
        <v>3544</v>
      </c>
      <c r="L407" s="6"/>
      <c r="M407" s="6"/>
      <c r="N407" s="6"/>
      <c r="O407" s="6" t="s">
        <v>3545</v>
      </c>
      <c r="P407" s="6"/>
      <c r="Q407" s="6"/>
      <c r="R407" s="6" t="s">
        <v>3546</v>
      </c>
      <c r="S407" s="28">
        <v>50.1817694</v>
      </c>
      <c r="T407" s="28">
        <v>13.810297500000001</v>
      </c>
      <c r="U407" s="6"/>
      <c r="V407" s="6"/>
      <c r="W407" s="6"/>
      <c r="X407" s="6"/>
      <c r="Y407" s="6"/>
      <c r="Z407" s="6"/>
      <c r="AA407" s="6"/>
      <c r="AB407" s="6"/>
      <c r="AD407" s="6"/>
      <c r="AE407" s="16"/>
      <c r="AF407" t="str">
        <f t="shared" si="0"/>
        <v/>
      </c>
    </row>
    <row r="408" spans="1:32">
      <c r="A408" s="6">
        <v>380</v>
      </c>
      <c r="B408" s="6" t="s">
        <v>3547</v>
      </c>
      <c r="C408" s="6" t="s">
        <v>3548</v>
      </c>
      <c r="D408" s="6" t="s">
        <v>819</v>
      </c>
      <c r="E408" s="12" t="s">
        <v>3549</v>
      </c>
      <c r="F408" s="6" t="s">
        <v>57</v>
      </c>
      <c r="G408" s="11">
        <v>2017</v>
      </c>
      <c r="H408" s="6"/>
      <c r="I408" s="13" t="str">
        <f>HYPERLINK("http://www.krikloun.cz","http://www.krikloun.cz")</f>
        <v>http://www.krikloun.cz</v>
      </c>
      <c r="J408" s="13" t="str">
        <f>HYPERLINK("https://www.facebook.com/krikloun","https://www.facebook.com/krikloun")</f>
        <v>https://www.facebook.com/krikloun</v>
      </c>
      <c r="K408" s="6" t="s">
        <v>3550</v>
      </c>
      <c r="L408" s="6"/>
      <c r="M408" s="6"/>
      <c r="N408" s="6"/>
      <c r="O408" s="6" t="s">
        <v>3547</v>
      </c>
      <c r="P408" s="6"/>
      <c r="Q408" s="15" t="s">
        <v>3551</v>
      </c>
      <c r="R408" s="6" t="s">
        <v>3552</v>
      </c>
      <c r="S408" s="6">
        <v>48.850562199999999</v>
      </c>
      <c r="T408" s="6">
        <v>17.117488600000001</v>
      </c>
      <c r="U408" s="6"/>
      <c r="V408" s="6"/>
      <c r="W408" s="6"/>
      <c r="X408" s="6"/>
      <c r="Y408" s="6"/>
      <c r="Z408" s="6"/>
      <c r="AA408" s="6"/>
      <c r="AB408" s="6" t="s">
        <v>47</v>
      </c>
      <c r="AD408" s="6" t="s">
        <v>47</v>
      </c>
      <c r="AE408" s="17" t="s">
        <v>47</v>
      </c>
      <c r="AF408" t="str">
        <f t="shared" si="0"/>
        <v>ANO</v>
      </c>
    </row>
    <row r="409" spans="1:32">
      <c r="A409" s="6">
        <v>381</v>
      </c>
      <c r="B409" s="6" t="s">
        <v>3553</v>
      </c>
      <c r="C409" s="6" t="s">
        <v>3554</v>
      </c>
      <c r="D409" s="6" t="s">
        <v>3555</v>
      </c>
      <c r="E409" s="12" t="s">
        <v>3556</v>
      </c>
      <c r="F409" s="6" t="s">
        <v>73</v>
      </c>
      <c r="G409" s="11">
        <v>2017</v>
      </c>
      <c r="H409" s="6"/>
      <c r="I409" s="13" t="str">
        <f>HYPERLINK("http://www.penzionjirsak.cz","http://www.penzionjirsak.cz")</f>
        <v>http://www.penzionjirsak.cz</v>
      </c>
      <c r="J409" s="13" t="str">
        <f>HYPERLINK("https://www.facebook.com/penzionjirsak","https://www.facebook.com/penzionjirsak")</f>
        <v>https://www.facebook.com/penzionjirsak</v>
      </c>
      <c r="K409" s="6" t="s">
        <v>3557</v>
      </c>
      <c r="L409" s="6"/>
      <c r="M409" s="6"/>
      <c r="N409" s="6"/>
      <c r="O409" s="6" t="s">
        <v>3558</v>
      </c>
      <c r="P409" s="6"/>
      <c r="Q409" s="15" t="s">
        <v>3559</v>
      </c>
      <c r="R409" s="6" t="s">
        <v>3560</v>
      </c>
      <c r="S409" s="6">
        <v>49.967444999999998</v>
      </c>
      <c r="T409" s="6">
        <v>17.001852499999998</v>
      </c>
      <c r="U409" s="6"/>
      <c r="V409" s="6"/>
      <c r="W409" s="6"/>
      <c r="X409" s="6"/>
      <c r="Y409" s="6"/>
      <c r="Z409" s="6"/>
      <c r="AA409" s="6"/>
      <c r="AB409" s="6"/>
      <c r="AC409" s="9" t="s">
        <v>47</v>
      </c>
      <c r="AD409" s="6"/>
      <c r="AE409" s="17" t="s">
        <v>47</v>
      </c>
      <c r="AF409" t="str">
        <f t="shared" si="0"/>
        <v>ANO</v>
      </c>
    </row>
    <row r="410" spans="1:32">
      <c r="A410" s="6">
        <v>382</v>
      </c>
      <c r="B410" s="6" t="s">
        <v>3561</v>
      </c>
      <c r="C410" s="6" t="s">
        <v>3562</v>
      </c>
      <c r="D410" s="6" t="s">
        <v>3561</v>
      </c>
      <c r="E410" s="12" t="s">
        <v>3563</v>
      </c>
      <c r="F410" s="6" t="s">
        <v>73</v>
      </c>
      <c r="G410" s="11">
        <v>2017</v>
      </c>
      <c r="H410" s="6"/>
      <c r="I410" s="13" t="str">
        <f>HYPERLINK("http://pivovardasice.cz","http://pivovardasice.cz")</f>
        <v>http://pivovardasice.cz</v>
      </c>
      <c r="J410" s="13" t="str">
        <f>HYPERLINK("https://www.facebook.com/pivovar.dasice","https://www.facebook.com/pivovar.dasice")</f>
        <v>https://www.facebook.com/pivovar.dasice</v>
      </c>
      <c r="K410" s="6" t="s">
        <v>3564</v>
      </c>
      <c r="L410" s="6"/>
      <c r="M410" s="6"/>
      <c r="N410" s="6"/>
      <c r="O410" s="6" t="s">
        <v>3565</v>
      </c>
      <c r="P410" s="6" t="s">
        <v>3566</v>
      </c>
      <c r="Q410" s="15" t="s">
        <v>3567</v>
      </c>
      <c r="R410" s="6" t="s">
        <v>3568</v>
      </c>
      <c r="S410" s="6">
        <v>50.028788900000002</v>
      </c>
      <c r="T410" s="6">
        <v>15.9152433</v>
      </c>
      <c r="U410" s="6"/>
      <c r="V410" s="6"/>
      <c r="W410" s="6"/>
      <c r="X410" s="6"/>
      <c r="Y410" s="6"/>
      <c r="Z410" s="6"/>
      <c r="AA410" s="6"/>
      <c r="AB410" s="6" t="s">
        <v>47</v>
      </c>
      <c r="AD410" s="6"/>
      <c r="AE410" s="16"/>
      <c r="AF410" t="str">
        <f t="shared" si="0"/>
        <v>ANO</v>
      </c>
    </row>
    <row r="411" spans="1:32">
      <c r="A411" s="6">
        <v>383</v>
      </c>
      <c r="B411" s="6" t="s">
        <v>3569</v>
      </c>
      <c r="C411" s="6" t="s">
        <v>3570</v>
      </c>
      <c r="D411" s="6" t="s">
        <v>3224</v>
      </c>
      <c r="E411" s="12" t="s">
        <v>3571</v>
      </c>
      <c r="F411" s="6" t="s">
        <v>73</v>
      </c>
      <c r="G411" s="11">
        <v>2017</v>
      </c>
      <c r="H411" s="6"/>
      <c r="I411" s="13" t="str">
        <f>HYPERLINK("http://restauracevpivovare.cz","http://restauracevpivovare.cz")</f>
        <v>http://restauracevpivovare.cz</v>
      </c>
      <c r="J411" s="13" t="str">
        <f>HYPERLINK("https://www.facebook.com/Poděbradský-Pivovar-230720060721046","https://www.facebook.com/Poděbradský-Pivovar-230720060721046")</f>
        <v>https://www.facebook.com/Poděbradský-Pivovar-230720060721046</v>
      </c>
      <c r="K411" s="6" t="s">
        <v>3572</v>
      </c>
      <c r="L411" s="6"/>
      <c r="M411" s="6"/>
      <c r="N411" s="6"/>
      <c r="O411" s="6" t="s">
        <v>3573</v>
      </c>
      <c r="P411" s="6" t="s">
        <v>3574</v>
      </c>
      <c r="Q411" s="15" t="s">
        <v>3575</v>
      </c>
      <c r="R411" s="6" t="s">
        <v>3576</v>
      </c>
      <c r="S411" s="6">
        <v>50.142776699999999</v>
      </c>
      <c r="T411" s="6">
        <v>15.116098300000001</v>
      </c>
      <c r="U411" s="6"/>
      <c r="V411" s="6"/>
      <c r="W411" s="6"/>
      <c r="X411" s="6"/>
      <c r="Y411" s="6"/>
      <c r="Z411" s="6"/>
      <c r="AA411" s="6"/>
      <c r="AB411" s="6" t="s">
        <v>47</v>
      </c>
      <c r="AD411" s="6" t="s">
        <v>47</v>
      </c>
      <c r="AE411" s="17" t="s">
        <v>47</v>
      </c>
      <c r="AF411" t="str">
        <f t="shared" si="0"/>
        <v>ANO</v>
      </c>
    </row>
    <row r="412" spans="1:32">
      <c r="A412" s="6">
        <v>384</v>
      </c>
      <c r="B412" s="6" t="s">
        <v>2020</v>
      </c>
      <c r="C412" s="6" t="s">
        <v>3577</v>
      </c>
      <c r="D412" s="6" t="s">
        <v>2020</v>
      </c>
      <c r="E412" s="12" t="s">
        <v>3578</v>
      </c>
      <c r="F412" s="6" t="s">
        <v>73</v>
      </c>
      <c r="G412" s="11">
        <v>2017</v>
      </c>
      <c r="H412" s="6"/>
      <c r="I412" s="13" t="str">
        <f>HYPERLINK("http://www.pivovar-kamenice.cz","http://www.pivovar-kamenice.cz")</f>
        <v>http://www.pivovar-kamenice.cz</v>
      </c>
      <c r="J412" s="13" t="str">
        <f>HYPERLINK("https://www.facebook.com/PivovarKamenice","https://www.facebook.com/PivovarKamenice")</f>
        <v>https://www.facebook.com/PivovarKamenice</v>
      </c>
      <c r="K412" t="s">
        <v>3579</v>
      </c>
      <c r="L412" s="6"/>
      <c r="M412" s="6" t="s">
        <v>3580</v>
      </c>
      <c r="N412" s="6"/>
      <c r="O412" s="6" t="s">
        <v>3581</v>
      </c>
      <c r="P412" s="6"/>
      <c r="Q412" s="6"/>
      <c r="R412" s="6" t="s">
        <v>3582</v>
      </c>
      <c r="S412" s="28">
        <v>49.301842200000003</v>
      </c>
      <c r="T412" s="28">
        <v>15.0783992</v>
      </c>
      <c r="U412" s="6"/>
      <c r="V412" s="6"/>
      <c r="W412" s="6"/>
      <c r="X412" s="6"/>
      <c r="Y412" s="6"/>
      <c r="Z412" s="6"/>
      <c r="AA412" s="6"/>
      <c r="AB412" s="6"/>
      <c r="AD412" s="6"/>
      <c r="AE412" s="16"/>
      <c r="AF412" t="str">
        <f t="shared" si="0"/>
        <v/>
      </c>
    </row>
    <row r="413" spans="1:32">
      <c r="A413" s="6">
        <v>385</v>
      </c>
      <c r="B413" s="6" t="s">
        <v>3583</v>
      </c>
      <c r="C413" s="6" t="s">
        <v>3584</v>
      </c>
      <c r="D413" s="6" t="s">
        <v>3585</v>
      </c>
      <c r="E413" s="12" t="s">
        <v>3586</v>
      </c>
      <c r="F413" s="6" t="s">
        <v>38</v>
      </c>
      <c r="G413" s="11">
        <v>2017</v>
      </c>
      <c r="H413" s="6"/>
      <c r="I413" s="15" t="s">
        <v>3587</v>
      </c>
      <c r="J413" s="6"/>
      <c r="K413" s="6" t="s">
        <v>3588</v>
      </c>
      <c r="L413" s="6"/>
      <c r="M413" s="6" t="s">
        <v>3589</v>
      </c>
      <c r="N413" s="6"/>
      <c r="O413" s="6" t="s">
        <v>3590</v>
      </c>
      <c r="P413" s="6"/>
      <c r="Q413" s="6"/>
      <c r="R413" s="6" t="s">
        <v>3591</v>
      </c>
      <c r="S413" s="28">
        <v>50.478999700000003</v>
      </c>
      <c r="T413" s="28">
        <v>14.1455442</v>
      </c>
      <c r="U413" s="6"/>
      <c r="V413" s="6"/>
      <c r="W413" s="6"/>
      <c r="X413" s="6"/>
      <c r="Y413" s="6"/>
      <c r="Z413" s="6"/>
      <c r="AA413" s="6"/>
      <c r="AB413" s="6"/>
      <c r="AD413" s="6"/>
      <c r="AE413" s="16"/>
      <c r="AF413" t="str">
        <f t="shared" si="0"/>
        <v/>
      </c>
    </row>
    <row r="414" spans="1:32">
      <c r="A414" s="6">
        <v>386</v>
      </c>
      <c r="B414" s="6" t="s">
        <v>3592</v>
      </c>
      <c r="C414" s="6" t="s">
        <v>3592</v>
      </c>
      <c r="D414" s="6" t="s">
        <v>1018</v>
      </c>
      <c r="E414" s="12" t="s">
        <v>3593</v>
      </c>
      <c r="F414" s="6" t="s">
        <v>57</v>
      </c>
      <c r="G414" s="11">
        <v>2017</v>
      </c>
      <c r="H414" s="6"/>
      <c r="I414" s="6"/>
      <c r="J414" s="13" t="str">
        <f>HYPERLINK("https://www.facebook.com/JBMBrewLabPub","https://www.facebook.com/JBMBrewLabPub")</f>
        <v>https://www.facebook.com/JBMBrewLabPub</v>
      </c>
      <c r="K414" s="6" t="s">
        <v>3594</v>
      </c>
      <c r="L414" s="6"/>
      <c r="M414" s="6"/>
      <c r="N414" s="6"/>
      <c r="O414" s="6" t="s">
        <v>3595</v>
      </c>
      <c r="P414" s="6"/>
      <c r="Q414" s="6"/>
      <c r="R414" s="6" t="s">
        <v>3596</v>
      </c>
      <c r="S414" s="28">
        <v>49.211869700000001</v>
      </c>
      <c r="T414" s="28">
        <v>16.600333599999999</v>
      </c>
      <c r="U414" s="6"/>
      <c r="V414" s="6"/>
      <c r="W414" s="6"/>
      <c r="X414" s="6"/>
      <c r="Y414" s="6"/>
      <c r="Z414" s="6"/>
      <c r="AA414" s="6"/>
      <c r="AB414" s="6"/>
      <c r="AD414" s="6"/>
      <c r="AE414" s="16"/>
      <c r="AF414" t="str">
        <f t="shared" si="0"/>
        <v/>
      </c>
    </row>
    <row r="415" spans="1:32">
      <c r="A415" s="6">
        <v>387</v>
      </c>
      <c r="B415" s="6" t="s">
        <v>3597</v>
      </c>
      <c r="C415" s="6" t="s">
        <v>3598</v>
      </c>
      <c r="D415" s="6" t="s">
        <v>3599</v>
      </c>
      <c r="E415" s="12" t="s">
        <v>3600</v>
      </c>
      <c r="F415" s="6" t="s">
        <v>38</v>
      </c>
      <c r="G415" s="11">
        <v>2017</v>
      </c>
      <c r="H415" s="6"/>
      <c r="I415" s="13" t="str">
        <f>HYPERLINK("http://www.bukovar.cz","http://www.bukovar.cz")</f>
        <v>http://www.bukovar.cz</v>
      </c>
      <c r="J415" s="13" t="str">
        <f>HYPERLINK("https://www.facebook.com/bukovar","https://www.facebook.com/bukovar")</f>
        <v>https://www.facebook.com/bukovar</v>
      </c>
      <c r="K415" s="6" t="s">
        <v>3601</v>
      </c>
      <c r="L415" s="6"/>
      <c r="M415" s="6"/>
      <c r="N415" s="6"/>
      <c r="O415" s="6" t="s">
        <v>3602</v>
      </c>
      <c r="P415" s="6"/>
      <c r="Q415" s="6"/>
      <c r="R415" s="6" t="s">
        <v>3603</v>
      </c>
      <c r="S415" s="28">
        <v>49.172128600000001</v>
      </c>
      <c r="T415" s="28">
        <v>14.5809842</v>
      </c>
      <c r="U415" s="6"/>
      <c r="V415" s="6"/>
      <c r="W415" s="6"/>
      <c r="X415" s="6"/>
      <c r="Y415" s="6"/>
      <c r="Z415" s="6"/>
      <c r="AA415" s="6"/>
      <c r="AB415" s="6"/>
      <c r="AD415" s="6"/>
      <c r="AE415" s="16"/>
      <c r="AF415" t="str">
        <f t="shared" si="0"/>
        <v/>
      </c>
    </row>
    <row r="416" spans="1:32">
      <c r="A416" s="6">
        <v>388</v>
      </c>
      <c r="B416" s="6" t="s">
        <v>3604</v>
      </c>
      <c r="C416" s="6" t="s">
        <v>3605</v>
      </c>
      <c r="D416" s="6" t="s">
        <v>3604</v>
      </c>
      <c r="E416" s="12" t="s">
        <v>3606</v>
      </c>
      <c r="F416" s="6" t="s">
        <v>73</v>
      </c>
      <c r="G416" s="11">
        <v>2017</v>
      </c>
      <c r="H416" s="6"/>
      <c r="I416" s="13" t="str">
        <f>HYPERLINK("http://www.ekofarmachrastany.cz","http://www.ekofarmachrastany.cz")</f>
        <v>http://www.ekofarmachrastany.cz</v>
      </c>
      <c r="J416" s="13" t="str">
        <f>HYPERLINK("https://www.facebook.com/pivovarhornichrastany","https://www.facebook.com/pivovarhornichrastany")</f>
        <v>https://www.facebook.com/pivovarhornichrastany</v>
      </c>
      <c r="K416" s="6" t="s">
        <v>3607</v>
      </c>
      <c r="L416" s="6"/>
      <c r="M416" s="6"/>
      <c r="N416" s="6"/>
      <c r="O416" s="6" t="s">
        <v>3608</v>
      </c>
      <c r="P416" s="6"/>
      <c r="Q416" s="6"/>
      <c r="R416" s="6" t="s">
        <v>3609</v>
      </c>
      <c r="S416" s="28">
        <v>49.000855799999997</v>
      </c>
      <c r="T416" s="28">
        <v>14.1979597</v>
      </c>
      <c r="U416" s="6"/>
      <c r="V416" s="6"/>
      <c r="W416" s="6"/>
      <c r="X416" s="6"/>
      <c r="Y416" s="6"/>
      <c r="Z416" s="6"/>
      <c r="AA416" s="6"/>
      <c r="AB416" s="6"/>
      <c r="AD416" s="6"/>
      <c r="AE416" s="16"/>
      <c r="AF416" t="str">
        <f t="shared" si="0"/>
        <v/>
      </c>
    </row>
    <row r="417" spans="1:37">
      <c r="A417" s="6">
        <v>389</v>
      </c>
      <c r="B417" s="6" t="s">
        <v>3610</v>
      </c>
      <c r="C417" s="6" t="s">
        <v>3611</v>
      </c>
      <c r="D417" s="6" t="s">
        <v>636</v>
      </c>
      <c r="E417" s="12" t="s">
        <v>3612</v>
      </c>
      <c r="F417" s="6" t="s">
        <v>73</v>
      </c>
      <c r="G417" s="11">
        <v>2017</v>
      </c>
      <c r="H417" s="6"/>
      <c r="I417" s="6"/>
      <c r="J417" s="13" t="str">
        <f>HYPERLINK("https://www.facebook.com/Hospodský-pivovar-U-Sudu-151972064973213","https://www.facebook.com/Hospodský-pivovar-U-Sudu-151972064973213")</f>
        <v>https://www.facebook.com/Hospodský-pivovar-U-Sudu-151972064973213</v>
      </c>
      <c r="K417" s="6" t="s">
        <v>3613</v>
      </c>
      <c r="L417" s="6"/>
      <c r="M417" s="6" t="s">
        <v>3614</v>
      </c>
      <c r="N417" s="6"/>
      <c r="O417" s="6" t="s">
        <v>3615</v>
      </c>
      <c r="P417" s="6"/>
      <c r="Q417" s="6"/>
      <c r="R417" s="6" t="s">
        <v>3616</v>
      </c>
      <c r="S417" s="28">
        <v>49.393747500000003</v>
      </c>
      <c r="T417" s="28">
        <v>15.586662499999999</v>
      </c>
      <c r="U417" s="6"/>
      <c r="V417" s="6"/>
      <c r="W417" s="6"/>
      <c r="X417" s="6"/>
      <c r="Y417" s="6"/>
      <c r="Z417" s="6"/>
      <c r="AA417" s="6"/>
      <c r="AB417" s="6"/>
      <c r="AD417" s="6"/>
      <c r="AE417" s="16"/>
      <c r="AF417" t="str">
        <f t="shared" si="0"/>
        <v/>
      </c>
    </row>
    <row r="418" spans="1:37">
      <c r="A418" s="6">
        <v>390</v>
      </c>
      <c r="B418" s="6" t="s">
        <v>3617</v>
      </c>
      <c r="C418" s="6" t="s">
        <v>3618</v>
      </c>
      <c r="D418" s="6" t="s">
        <v>3619</v>
      </c>
      <c r="E418" s="12" t="s">
        <v>3620</v>
      </c>
      <c r="F418" s="6" t="s">
        <v>73</v>
      </c>
      <c r="G418" s="11">
        <v>2017</v>
      </c>
      <c r="H418" s="6"/>
      <c r="I418" s="13" t="str">
        <f>HYPERLINK("http://www.dedkuv-mlyn.cz","http://www.dedkuv-mlyn.cz")</f>
        <v>http://www.dedkuv-mlyn.cz</v>
      </c>
      <c r="J418" s="13" t="str">
        <f>HYPERLINK("https://www.facebook.com/Restaurace.Dedkuv.mlyn?lst=1046208185%3A100003771994730%3A1497902444","https://www.facebook.com/Restaurace.Dedkuv.mlyn?lst=1046208185%3A100003771994730%3A1497902444")</f>
        <v>https://www.facebook.com/Restaurace.Dedkuv.mlyn?lst=1046208185%3A100003771994730%3A1497902444</v>
      </c>
      <c r="K418" s="6" t="s">
        <v>3621</v>
      </c>
      <c r="L418" s="6"/>
      <c r="M418" s="6"/>
      <c r="N418" s="6"/>
      <c r="O418" s="6" t="s">
        <v>3622</v>
      </c>
      <c r="P418" s="6"/>
      <c r="Q418" s="6"/>
      <c r="R418" s="6" t="s">
        <v>3623</v>
      </c>
      <c r="S418" s="28">
        <v>49.393747500000003</v>
      </c>
      <c r="T418" s="28">
        <v>14.099187499999999</v>
      </c>
      <c r="U418" s="6"/>
      <c r="V418" s="6"/>
      <c r="W418" s="6"/>
      <c r="X418" s="6"/>
      <c r="Y418" s="6"/>
      <c r="Z418" s="6"/>
      <c r="AA418" s="6"/>
      <c r="AB418" s="6"/>
      <c r="AD418" s="6"/>
      <c r="AE418" s="16"/>
      <c r="AF418" t="str">
        <f t="shared" si="0"/>
        <v/>
      </c>
    </row>
    <row r="419" spans="1:37">
      <c r="A419" s="6">
        <v>391</v>
      </c>
      <c r="B419" s="6" t="s">
        <v>3624</v>
      </c>
      <c r="C419" s="6" t="s">
        <v>3625</v>
      </c>
      <c r="D419" s="6" t="s">
        <v>3469</v>
      </c>
      <c r="E419" s="12" t="s">
        <v>3626</v>
      </c>
      <c r="F419" s="6" t="s">
        <v>73</v>
      </c>
      <c r="G419" s="11">
        <v>2017</v>
      </c>
      <c r="H419" s="6"/>
      <c r="I419" s="15" t="s">
        <v>3628</v>
      </c>
      <c r="J419" s="13" t="str">
        <f>HYPERLINK("https://www.facebook.com/pivovarvolt","https://www.facebook.com/pivovarvolt")</f>
        <v>https://www.facebook.com/pivovarvolt</v>
      </c>
      <c r="K419" s="6" t="s">
        <v>3629</v>
      </c>
      <c r="L419" s="6"/>
      <c r="M419" s="6"/>
      <c r="N419" s="6"/>
      <c r="O419" s="6" t="s">
        <v>3630</v>
      </c>
      <c r="P419" s="6"/>
      <c r="Q419" s="6"/>
      <c r="R419" s="6" t="s">
        <v>3631</v>
      </c>
      <c r="S419" s="28">
        <v>50.731833100000003</v>
      </c>
      <c r="T419" s="28">
        <v>15.1699042</v>
      </c>
      <c r="U419" s="6"/>
      <c r="V419" s="6"/>
      <c r="W419" s="6"/>
      <c r="X419" s="6"/>
      <c r="Y419" s="6"/>
      <c r="Z419" s="6"/>
      <c r="AA419" s="6"/>
      <c r="AB419" s="6"/>
      <c r="AD419" s="6"/>
      <c r="AE419" s="16"/>
      <c r="AF419" t="str">
        <f t="shared" si="0"/>
        <v/>
      </c>
    </row>
    <row r="420" spans="1:37">
      <c r="A420" s="6">
        <v>392</v>
      </c>
      <c r="B420" s="6" t="s">
        <v>3632</v>
      </c>
      <c r="C420" s="6" t="s">
        <v>3633</v>
      </c>
      <c r="D420" s="6" t="s">
        <v>3634</v>
      </c>
      <c r="E420" s="12" t="s">
        <v>3635</v>
      </c>
      <c r="F420" s="6" t="s">
        <v>73</v>
      </c>
      <c r="G420" s="11">
        <v>2017</v>
      </c>
      <c r="H420" s="6"/>
      <c r="I420" s="13" t="str">
        <f>HYPERLINK("http://www.hermanicky-pivovar.cz","http://www.hermanicky-pivovar.cz")</f>
        <v>http://www.hermanicky-pivovar.cz</v>
      </c>
      <c r="J420" s="15" t="s">
        <v>3636</v>
      </c>
      <c r="K420" s="6" t="s">
        <v>3637</v>
      </c>
      <c r="L420" s="6"/>
      <c r="M420" s="6"/>
      <c r="N420" s="6"/>
      <c r="O420" s="6" t="s">
        <v>3632</v>
      </c>
      <c r="P420" s="6" t="s">
        <v>3638</v>
      </c>
      <c r="Q420" s="15" t="s">
        <v>3639</v>
      </c>
      <c r="R420" s="6" t="s">
        <v>3640</v>
      </c>
      <c r="S420" s="28">
        <v>49.859287500000001</v>
      </c>
      <c r="T420" s="28">
        <v>18.330060799999998</v>
      </c>
      <c r="U420" s="6"/>
      <c r="V420" s="6"/>
      <c r="W420" s="6"/>
      <c r="X420" s="6"/>
      <c r="Y420" s="6"/>
      <c r="Z420" s="6"/>
      <c r="AA420" s="6"/>
      <c r="AB420" s="6" t="s">
        <v>47</v>
      </c>
      <c r="AD420" s="6" t="s">
        <v>47</v>
      </c>
      <c r="AE420" s="17" t="s">
        <v>47</v>
      </c>
      <c r="AF420" t="str">
        <f t="shared" si="0"/>
        <v>ANO</v>
      </c>
    </row>
    <row r="421" spans="1:37">
      <c r="A421" s="6">
        <v>393</v>
      </c>
      <c r="B421" s="6" t="s">
        <v>3641</v>
      </c>
      <c r="C421" s="6" t="s">
        <v>3642</v>
      </c>
      <c r="D421" s="6" t="s">
        <v>1140</v>
      </c>
      <c r="E421" s="12" t="s">
        <v>3643</v>
      </c>
      <c r="F421" s="6" t="s">
        <v>57</v>
      </c>
      <c r="G421" s="11">
        <v>2017</v>
      </c>
      <c r="H421" s="6">
        <v>750</v>
      </c>
      <c r="I421" s="13" t="str">
        <f>HYPERLINK("http://www.pmpivovary.cz","http://www.pmpivovary.cz")</f>
        <v>http://www.pmpivovary.cz</v>
      </c>
      <c r="J421" s="13" t="str">
        <f>HYPERLINK("https://www.facebook.com/Kalikovar-1971581929736226","https://www.facebook.com/Kalikovar-1971581929736226")</f>
        <v>https://www.facebook.com/Kalikovar-1971581929736226</v>
      </c>
      <c r="K421" s="6" t="s">
        <v>3644</v>
      </c>
      <c r="L421" s="6"/>
      <c r="M421" s="6" t="s">
        <v>2892</v>
      </c>
      <c r="N421" s="6"/>
      <c r="O421" s="6" t="s">
        <v>3645</v>
      </c>
      <c r="P421" s="6"/>
      <c r="Q421" s="6"/>
      <c r="R421" s="6" t="s">
        <v>3646</v>
      </c>
      <c r="S421" s="28">
        <v>49.750402800000003</v>
      </c>
      <c r="T421" s="28">
        <v>13.365662800000001</v>
      </c>
      <c r="U421" s="6"/>
      <c r="V421" s="6"/>
      <c r="W421" s="6"/>
      <c r="X421" s="6"/>
      <c r="Y421" s="6"/>
      <c r="Z421" s="6"/>
      <c r="AA421" s="6"/>
      <c r="AB421" s="6"/>
      <c r="AD421" s="6"/>
      <c r="AE421" s="16"/>
      <c r="AF421" t="str">
        <f t="shared" si="0"/>
        <v/>
      </c>
    </row>
    <row r="422" spans="1:37">
      <c r="A422" s="6">
        <v>394</v>
      </c>
      <c r="B422" s="6" t="s">
        <v>410</v>
      </c>
      <c r="C422" s="6" t="s">
        <v>3647</v>
      </c>
      <c r="D422" s="6" t="s">
        <v>410</v>
      </c>
      <c r="E422" s="12" t="s">
        <v>411</v>
      </c>
      <c r="F422" s="6" t="s">
        <v>73</v>
      </c>
      <c r="G422" s="11">
        <v>2016</v>
      </c>
      <c r="H422" s="6"/>
      <c r="I422" s="13" t="str">
        <f>HYPERLINK("http://www.pivovarceskykrumlov.cz","http://www.pivovarceskykrumlov.cz")</f>
        <v>http://www.pivovarceskykrumlov.cz</v>
      </c>
      <c r="J422" s="13" t="str">
        <f>HYPERLINK("https://www.facebook.com/Historický-pivovar-Český-Krumlov-1705939106379562","https://www.facebook.com/Historický-pivovar-Český-Krumlov-1705939106379562")</f>
        <v>https://www.facebook.com/Historický-pivovar-Český-Krumlov-1705939106379562</v>
      </c>
      <c r="K422" s="6" t="s">
        <v>3649</v>
      </c>
      <c r="L422" s="6"/>
      <c r="M422" s="6" t="s">
        <v>414</v>
      </c>
      <c r="N422" s="6"/>
      <c r="O422" s="6"/>
      <c r="P422" s="6"/>
      <c r="Q422" s="6"/>
      <c r="R422" s="6" t="s">
        <v>3650</v>
      </c>
      <c r="S422" s="28">
        <v>48.813305</v>
      </c>
      <c r="T422" s="28">
        <v>14.319463600000001</v>
      </c>
      <c r="U422" s="6"/>
      <c r="V422" s="6"/>
      <c r="W422" s="6"/>
      <c r="X422" s="6"/>
      <c r="Y422" s="6"/>
      <c r="Z422" s="6"/>
      <c r="AA422" s="6"/>
      <c r="AB422" s="6"/>
      <c r="AD422" s="6"/>
      <c r="AE422" s="16"/>
      <c r="AF422" t="str">
        <f t="shared" si="0"/>
        <v/>
      </c>
    </row>
    <row r="423" spans="1:37">
      <c r="A423" s="19">
        <v>394</v>
      </c>
      <c r="B423" s="20" t="s">
        <v>3651</v>
      </c>
      <c r="C423" s="20" t="s">
        <v>3652</v>
      </c>
      <c r="D423" s="20" t="s">
        <v>3653</v>
      </c>
      <c r="E423" s="23" t="s">
        <v>3654</v>
      </c>
      <c r="F423" s="20" t="s">
        <v>113</v>
      </c>
      <c r="G423" s="24">
        <v>2016.2016000000001</v>
      </c>
      <c r="H423" s="20"/>
      <c r="I423" s="16" t="s">
        <v>3655</v>
      </c>
      <c r="J423" s="20"/>
      <c r="K423" s="26" t="s">
        <v>3656</v>
      </c>
      <c r="L423" s="20"/>
      <c r="M423" s="16" t="s">
        <v>3657</v>
      </c>
      <c r="N423" s="20"/>
      <c r="O423" s="16" t="s">
        <v>3658</v>
      </c>
      <c r="P423" s="20"/>
      <c r="Q423" s="20"/>
      <c r="R423" s="20" t="s">
        <v>3659</v>
      </c>
      <c r="S423" s="19">
        <v>49.290940999999897</v>
      </c>
      <c r="T423" s="19">
        <v>17.740309</v>
      </c>
      <c r="U423" s="20"/>
      <c r="V423" s="20"/>
      <c r="W423" s="20"/>
      <c r="X423" s="20"/>
      <c r="Y423" s="20"/>
      <c r="Z423" s="20"/>
      <c r="AA423" s="20"/>
      <c r="AB423" s="20"/>
      <c r="AC423" s="20"/>
      <c r="AD423" s="20"/>
      <c r="AE423" s="20"/>
      <c r="AF423" t="str">
        <f t="shared" si="0"/>
        <v/>
      </c>
      <c r="AG423" s="20"/>
      <c r="AH423" s="20"/>
      <c r="AI423" s="20"/>
      <c r="AJ423" s="20"/>
      <c r="AK423" s="20"/>
    </row>
    <row r="424" spans="1:37">
      <c r="A424" s="6">
        <v>395</v>
      </c>
      <c r="B424" s="6" t="s">
        <v>3660</v>
      </c>
      <c r="C424" s="6" t="s">
        <v>3661</v>
      </c>
      <c r="D424" s="6" t="s">
        <v>3662</v>
      </c>
      <c r="E424" s="12" t="s">
        <v>3663</v>
      </c>
      <c r="F424" s="6" t="s">
        <v>57</v>
      </c>
      <c r="G424" s="11">
        <v>2017</v>
      </c>
      <c r="H424" s="6">
        <v>150</v>
      </c>
      <c r="I424" s="13" t="str">
        <f>HYPERLINK("http://www.pivovardejf.cz","http://www.pivovardejf.cz")</f>
        <v>http://www.pivovardejf.cz</v>
      </c>
      <c r="J424" s="13" t="str">
        <f>HYPERLINK("https://www.facebook.com/pivovarDejf","https://www.facebook.com/pivovarDejf")</f>
        <v>https://www.facebook.com/pivovarDejf</v>
      </c>
      <c r="K424" s="6" t="s">
        <v>3665</v>
      </c>
      <c r="L424" s="6"/>
      <c r="M424" s="6" t="s">
        <v>3666</v>
      </c>
      <c r="N424" s="6"/>
      <c r="O424" s="6" t="s">
        <v>3667</v>
      </c>
      <c r="P424" s="6"/>
      <c r="Q424" s="15" t="s">
        <v>3668</v>
      </c>
      <c r="R424" s="6" t="s">
        <v>3669</v>
      </c>
      <c r="S424" s="28">
        <v>49.722318899999998</v>
      </c>
      <c r="T424" s="28">
        <v>18.078665600000001</v>
      </c>
      <c r="U424" s="6"/>
      <c r="V424" s="6"/>
      <c r="W424" s="6"/>
      <c r="X424" s="6"/>
      <c r="Y424" s="6"/>
      <c r="Z424" s="6"/>
      <c r="AA424" s="6"/>
      <c r="AB424" s="6" t="s">
        <v>47</v>
      </c>
      <c r="AD424" s="6" t="s">
        <v>47</v>
      </c>
      <c r="AE424" s="17" t="s">
        <v>47</v>
      </c>
      <c r="AF424" t="str">
        <f t="shared" si="0"/>
        <v>ANO</v>
      </c>
    </row>
    <row r="425" spans="1:37">
      <c r="A425" s="6">
        <v>396</v>
      </c>
      <c r="B425" s="6" t="s">
        <v>3670</v>
      </c>
      <c r="C425" s="6" t="s">
        <v>3671</v>
      </c>
      <c r="D425" s="6" t="s">
        <v>3672</v>
      </c>
      <c r="E425" s="12" t="s">
        <v>3673</v>
      </c>
      <c r="F425" s="6" t="s">
        <v>38</v>
      </c>
      <c r="G425" s="11">
        <v>2017</v>
      </c>
      <c r="H425" s="6"/>
      <c r="I425" s="15" t="s">
        <v>3674</v>
      </c>
      <c r="J425" s="13" t="str">
        <f>HYPERLINK("https://www.facebook.com/pivovar.trojan","https://www.facebook.com/pivovar.trojan")</f>
        <v>https://www.facebook.com/pivovar.trojan</v>
      </c>
      <c r="K425" s="6" t="s">
        <v>3675</v>
      </c>
      <c r="L425" s="6"/>
      <c r="M425" s="6"/>
      <c r="N425" s="6"/>
      <c r="O425" s="6" t="s">
        <v>3676</v>
      </c>
      <c r="P425" s="6"/>
      <c r="Q425" s="6"/>
      <c r="R425" s="6" t="s">
        <v>3677</v>
      </c>
      <c r="S425" s="28">
        <v>49.186176099999997</v>
      </c>
      <c r="T425" s="28">
        <v>15.4654633</v>
      </c>
      <c r="U425" s="6"/>
      <c r="V425" s="6"/>
      <c r="W425" s="6"/>
      <c r="X425" s="6"/>
      <c r="Y425" s="6"/>
      <c r="Z425" s="6"/>
      <c r="AA425" s="6"/>
      <c r="AB425" s="6"/>
      <c r="AD425" s="6"/>
      <c r="AE425" s="16"/>
      <c r="AF425" t="str">
        <f t="shared" si="0"/>
        <v/>
      </c>
    </row>
    <row r="426" spans="1:37">
      <c r="A426" s="6">
        <v>397</v>
      </c>
      <c r="B426" s="6" t="s">
        <v>3678</v>
      </c>
      <c r="C426" s="6" t="s">
        <v>3679</v>
      </c>
      <c r="D426" s="6" t="s">
        <v>1165</v>
      </c>
      <c r="E426" s="12" t="s">
        <v>3680</v>
      </c>
      <c r="F426" s="6" t="s">
        <v>57</v>
      </c>
      <c r="G426" s="11">
        <v>2017</v>
      </c>
      <c r="H426" s="6"/>
      <c r="I426" s="13" t="str">
        <f>HYPERLINK("http://jungberg.cz","http://jungberg.cz")</f>
        <v>http://jungberg.cz</v>
      </c>
      <c r="J426" s="13" t="str">
        <f>HYPERLINK("https://www.facebook.com/PivovarJungBerg","https://www.facebook.com/PivovarJungBerg")</f>
        <v>https://www.facebook.com/PivovarJungBerg</v>
      </c>
      <c r="K426" s="6" t="s">
        <v>3681</v>
      </c>
      <c r="L426" s="6"/>
      <c r="M426" s="6" t="s">
        <v>3682</v>
      </c>
      <c r="N426" s="6"/>
      <c r="O426" s="6" t="s">
        <v>3683</v>
      </c>
      <c r="P426" s="6"/>
      <c r="Q426" s="6"/>
      <c r="R426" s="6" t="s">
        <v>3684</v>
      </c>
      <c r="S426" s="28">
        <v>50.369665599999998</v>
      </c>
      <c r="T426" s="28">
        <v>15.6383736</v>
      </c>
      <c r="U426" s="6"/>
      <c r="V426" s="6"/>
      <c r="W426" s="6"/>
      <c r="X426" s="6"/>
      <c r="Y426" s="6"/>
      <c r="Z426" s="6"/>
      <c r="AA426" s="6"/>
      <c r="AB426" s="6"/>
      <c r="AD426" s="6"/>
      <c r="AE426" s="16"/>
      <c r="AF426" t="str">
        <f t="shared" si="0"/>
        <v/>
      </c>
    </row>
    <row r="427" spans="1:37">
      <c r="A427" s="6">
        <v>398</v>
      </c>
      <c r="B427" s="6" t="s">
        <v>3685</v>
      </c>
      <c r="C427" s="6" t="s">
        <v>3686</v>
      </c>
      <c r="D427" s="6" t="s">
        <v>3687</v>
      </c>
      <c r="E427" s="12" t="s">
        <v>3688</v>
      </c>
      <c r="F427" s="6" t="s">
        <v>38</v>
      </c>
      <c r="G427" s="11">
        <v>2017</v>
      </c>
      <c r="H427" s="6"/>
      <c r="I427" s="13" t="str">
        <f>HYPERLINK("http://pivovar-spitt.webnode.cz","http://pivovar-spitt.webnode.cz")</f>
        <v>http://pivovar-spitt.webnode.cz</v>
      </c>
      <c r="J427" s="13" t="str">
        <f>HYPERLINK("https://www.facebook.com/Pivovar-%C5%A0pitt-487345268278807","https://www.facebook.com/Pivovar-%C5%A0pitt-487345268278807")</f>
        <v>https://www.facebook.com/Pivovar-%C5%A0pitt-487345268278807</v>
      </c>
      <c r="K427" s="6" t="s">
        <v>3689</v>
      </c>
      <c r="L427" s="6"/>
      <c r="M427" s="6"/>
      <c r="N427" s="6"/>
      <c r="O427" s="6" t="s">
        <v>3685</v>
      </c>
      <c r="P427" s="6"/>
      <c r="Q427" s="6"/>
      <c r="R427" s="6" t="s">
        <v>3690</v>
      </c>
      <c r="S427" s="28">
        <v>50.531272199999997</v>
      </c>
      <c r="T427" s="28">
        <v>14.217475800000001</v>
      </c>
      <c r="U427" s="6"/>
      <c r="V427" s="6"/>
      <c r="W427" s="6"/>
      <c r="X427" s="6"/>
      <c r="Y427" s="6"/>
      <c r="Z427" s="6"/>
      <c r="AA427" s="6"/>
      <c r="AB427" s="6"/>
      <c r="AD427" s="6"/>
      <c r="AE427" s="16"/>
      <c r="AF427" t="str">
        <f t="shared" si="0"/>
        <v/>
      </c>
    </row>
    <row r="428" spans="1:37">
      <c r="A428" s="6">
        <v>399</v>
      </c>
      <c r="B428" s="6" t="s">
        <v>3692</v>
      </c>
      <c r="C428" s="6" t="s">
        <v>3693</v>
      </c>
      <c r="D428" s="6" t="s">
        <v>3694</v>
      </c>
      <c r="E428" s="12" t="s">
        <v>3695</v>
      </c>
      <c r="F428" s="6" t="s">
        <v>57</v>
      </c>
      <c r="G428" s="11">
        <v>2017</v>
      </c>
      <c r="H428" s="6"/>
      <c r="I428" s="6"/>
      <c r="J428" s="13" t="str">
        <f>HYPERLINK("https://www.facebook.com/Pivovar-Koberice-336494666511980","https://www.facebook.com/Pivovar-Koberice-336494666511980")</f>
        <v>https://www.facebook.com/Pivovar-Koberice-336494666511980</v>
      </c>
      <c r="K428" s="6" t="s">
        <v>3696</v>
      </c>
      <c r="L428" s="6"/>
      <c r="M428" s="6"/>
      <c r="N428" s="6"/>
      <c r="O428" s="6"/>
      <c r="P428" s="6"/>
      <c r="Q428" s="6"/>
      <c r="R428" s="6" t="s">
        <v>3697</v>
      </c>
      <c r="S428" s="28">
        <v>49.369629199999999</v>
      </c>
      <c r="T428" s="28">
        <v>17.112512800000001</v>
      </c>
      <c r="U428" s="6"/>
      <c r="V428" s="6"/>
      <c r="W428" s="6"/>
      <c r="X428" s="6"/>
      <c r="Y428" s="6"/>
      <c r="Z428" s="6"/>
      <c r="AA428" s="6"/>
      <c r="AB428" s="6"/>
      <c r="AD428" s="6"/>
      <c r="AE428" s="16"/>
      <c r="AF428" t="str">
        <f t="shared" si="0"/>
        <v/>
      </c>
    </row>
    <row r="429" spans="1:37">
      <c r="A429" s="6">
        <v>400</v>
      </c>
      <c r="B429" s="6" t="s">
        <v>3698</v>
      </c>
      <c r="C429" s="6" t="s">
        <v>3699</v>
      </c>
      <c r="D429" s="6" t="s">
        <v>3700</v>
      </c>
      <c r="E429" s="12" t="s">
        <v>3701</v>
      </c>
      <c r="F429" s="6" t="s">
        <v>38</v>
      </c>
      <c r="G429" s="11">
        <v>2017</v>
      </c>
      <c r="H429" s="6"/>
      <c r="I429" s="13" t="str">
        <f>HYPERLINK("http://www.pivovar-mlyn.cz","http://www.pivovar-mlyn.cz")</f>
        <v>http://www.pivovar-mlyn.cz</v>
      </c>
      <c r="J429" s="6" t="s">
        <v>3702</v>
      </c>
      <c r="K429" s="6" t="s">
        <v>3703</v>
      </c>
      <c r="L429" s="6"/>
      <c r="M429" s="6"/>
      <c r="N429" s="6"/>
      <c r="O429" s="6"/>
      <c r="P429" s="6"/>
      <c r="Q429" s="6"/>
      <c r="R429" s="6" t="s">
        <v>3704</v>
      </c>
      <c r="S429" s="28">
        <v>50.519553299999998</v>
      </c>
      <c r="T429" s="28">
        <v>14.384344199999999</v>
      </c>
      <c r="U429" s="6"/>
      <c r="V429" s="6"/>
      <c r="W429" s="6"/>
      <c r="X429" s="6"/>
      <c r="Y429" s="6"/>
      <c r="Z429" s="6"/>
      <c r="AA429" s="6"/>
      <c r="AB429" s="6"/>
      <c r="AD429" s="6"/>
      <c r="AE429" s="16"/>
      <c r="AF429" t="str">
        <f t="shared" si="0"/>
        <v/>
      </c>
    </row>
    <row r="430" spans="1:37">
      <c r="A430" s="6">
        <v>401</v>
      </c>
      <c r="B430" s="6" t="s">
        <v>3705</v>
      </c>
      <c r="C430" s="6" t="s">
        <v>3706</v>
      </c>
      <c r="D430" s="6" t="s">
        <v>3705</v>
      </c>
      <c r="E430" s="12" t="s">
        <v>3707</v>
      </c>
      <c r="F430" s="6" t="s">
        <v>73</v>
      </c>
      <c r="G430" s="11">
        <v>2017</v>
      </c>
      <c r="H430" s="6"/>
      <c r="I430" s="13" t="str">
        <f>HYPERLINK("http://penzion-hnanice.cz","http://penzion-hnanice.cz")</f>
        <v>http://penzion-hnanice.cz</v>
      </c>
      <c r="J430" s="13" t="str">
        <f>HYPERLINK("https://www.facebook.com/pivovar.hnanice","https://www.facebook.com/pivovar.hnanice")</f>
        <v>https://www.facebook.com/pivovar.hnanice</v>
      </c>
      <c r="K430" s="6" t="s">
        <v>3708</v>
      </c>
      <c r="L430" s="6"/>
      <c r="M430" s="6"/>
      <c r="N430" s="6"/>
      <c r="O430" s="6"/>
      <c r="P430" s="6"/>
      <c r="Q430" s="6"/>
      <c r="R430" s="6" t="s">
        <v>3709</v>
      </c>
      <c r="S430" s="28">
        <v>48.7972039</v>
      </c>
      <c r="T430" s="28">
        <v>15.987108900000001</v>
      </c>
      <c r="U430" s="6"/>
      <c r="V430" s="6"/>
      <c r="W430" s="6"/>
      <c r="X430" s="6"/>
      <c r="Y430" s="6"/>
      <c r="Z430" s="6"/>
      <c r="AA430" s="6"/>
      <c r="AB430" s="6"/>
      <c r="AD430" s="6"/>
      <c r="AE430" s="16"/>
      <c r="AF430" t="str">
        <f t="shared" si="0"/>
        <v/>
      </c>
    </row>
    <row r="431" spans="1:37">
      <c r="A431" s="6">
        <v>402</v>
      </c>
      <c r="B431" s="6" t="s">
        <v>3711</v>
      </c>
      <c r="C431" s="6" t="s">
        <v>3712</v>
      </c>
      <c r="D431" s="6" t="s">
        <v>622</v>
      </c>
      <c r="E431" s="12" t="s">
        <v>3713</v>
      </c>
      <c r="F431" s="6" t="s">
        <v>57</v>
      </c>
      <c r="G431" s="11">
        <v>2017</v>
      </c>
      <c r="H431" s="6"/>
      <c r="I431" s="6"/>
      <c r="J431" s="31" t="str">
        <f>HYPERLINK("https://www.facebook.com/Velkorakovský-minipivovar-176059596205220","https://www.facebook.com/Velkorakovský-minipivovar-176059596205220")</f>
        <v>https://www.facebook.com/Velkorakovský-minipivovar-176059596205220</v>
      </c>
      <c r="K431" s="6" t="s">
        <v>3714</v>
      </c>
      <c r="L431" s="6"/>
      <c r="M431" s="6"/>
      <c r="N431" s="6" t="s">
        <v>3715</v>
      </c>
      <c r="O431" s="6" t="s">
        <v>3716</v>
      </c>
      <c r="P431" s="6"/>
      <c r="Q431" s="6"/>
      <c r="R431" s="6" t="s">
        <v>3717</v>
      </c>
      <c r="S431" s="28">
        <v>49.4691878</v>
      </c>
      <c r="T431" s="28">
        <v>17.130508899999999</v>
      </c>
      <c r="U431" s="6"/>
      <c r="V431" s="6"/>
      <c r="W431" s="6"/>
      <c r="X431" s="6"/>
      <c r="Y431" s="6"/>
      <c r="Z431" s="6"/>
      <c r="AA431" s="6"/>
      <c r="AB431" s="6"/>
      <c r="AD431" s="6"/>
      <c r="AE431" s="16"/>
      <c r="AF431" t="str">
        <f t="shared" si="0"/>
        <v/>
      </c>
    </row>
    <row r="432" spans="1:37">
      <c r="A432" s="6">
        <v>403</v>
      </c>
      <c r="B432" s="6" t="s">
        <v>3718</v>
      </c>
      <c r="C432" s="6" t="s">
        <v>3719</v>
      </c>
      <c r="D432" s="6" t="s">
        <v>401</v>
      </c>
      <c r="E432" s="12" t="s">
        <v>3720</v>
      </c>
      <c r="F432" s="6" t="s">
        <v>73</v>
      </c>
      <c r="G432" s="11">
        <v>2017</v>
      </c>
      <c r="H432" s="6"/>
      <c r="J432" s="13" t="str">
        <f>HYPERLINK("https://www.facebook.com/www.presticky.pivovar.cz","https://www.facebook.com/www.presticky.pivovar.cz")</f>
        <v>https://www.facebook.com/www.presticky.pivovar.cz</v>
      </c>
      <c r="K432" s="6" t="s">
        <v>3721</v>
      </c>
      <c r="L432" s="6"/>
      <c r="M432" s="6" t="s">
        <v>3722</v>
      </c>
      <c r="N432" s="6"/>
      <c r="O432" s="6" t="s">
        <v>3723</v>
      </c>
      <c r="P432" s="6"/>
      <c r="Q432" s="6"/>
      <c r="R432" s="6" t="s">
        <v>3724</v>
      </c>
      <c r="S432" s="28">
        <v>49.572741399999998</v>
      </c>
      <c r="T432" s="28">
        <v>13.3306106</v>
      </c>
      <c r="U432" s="6"/>
      <c r="V432" s="6"/>
      <c r="W432" s="6"/>
      <c r="X432" s="6"/>
      <c r="Y432" s="6"/>
      <c r="Z432" s="6"/>
      <c r="AA432" s="6"/>
      <c r="AB432" s="6"/>
      <c r="AD432" s="6"/>
      <c r="AE432" s="16"/>
      <c r="AF432" t="str">
        <f t="shared" si="0"/>
        <v/>
      </c>
    </row>
    <row r="433" spans="1:37">
      <c r="A433" s="6">
        <v>404</v>
      </c>
      <c r="B433" s="6" t="s">
        <v>3725</v>
      </c>
      <c r="C433" s="6" t="s">
        <v>3726</v>
      </c>
      <c r="D433" s="6" t="s">
        <v>288</v>
      </c>
      <c r="E433" s="12" t="s">
        <v>3727</v>
      </c>
      <c r="F433" s="6" t="s">
        <v>73</v>
      </c>
      <c r="G433" s="11">
        <v>2017</v>
      </c>
      <c r="H433" s="6"/>
      <c r="I433" s="13" t="str">
        <f>HYPERLINK("https://www.krasenskypivovar.cz","https://www.krasenskypivovar.cz")</f>
        <v>https://www.krasenskypivovar.cz</v>
      </c>
      <c r="J433" s="31" t="s">
        <v>3729</v>
      </c>
      <c r="K433" s="6" t="s">
        <v>3730</v>
      </c>
      <c r="L433" s="6"/>
      <c r="M433" s="6"/>
      <c r="N433" s="6"/>
      <c r="O433" s="32" t="s">
        <v>3731</v>
      </c>
      <c r="P433" s="6"/>
      <c r="Q433" s="15" t="s">
        <v>3732</v>
      </c>
      <c r="R433" s="6" t="s">
        <v>3733</v>
      </c>
      <c r="S433" s="28">
        <v>49.473783599999997</v>
      </c>
      <c r="T433" s="28">
        <v>17.971983900000001</v>
      </c>
      <c r="U433" s="6"/>
      <c r="V433" s="6"/>
      <c r="W433" s="6"/>
      <c r="X433" s="6"/>
      <c r="Y433" s="6"/>
      <c r="Z433" s="6"/>
      <c r="AA433" s="6"/>
      <c r="AB433" s="6"/>
      <c r="AD433" s="6" t="s">
        <v>47</v>
      </c>
      <c r="AE433" s="17" t="s">
        <v>47</v>
      </c>
      <c r="AF433" t="str">
        <f t="shared" si="0"/>
        <v>ANO</v>
      </c>
    </row>
    <row r="434" spans="1:37">
      <c r="A434" s="6">
        <v>405</v>
      </c>
      <c r="B434" s="6" t="s">
        <v>3734</v>
      </c>
      <c r="C434" s="6" t="s">
        <v>3735</v>
      </c>
      <c r="D434" s="6" t="s">
        <v>3736</v>
      </c>
      <c r="E434" s="12" t="s">
        <v>3737</v>
      </c>
      <c r="F434" s="6" t="s">
        <v>57</v>
      </c>
      <c r="G434" s="11">
        <v>2017</v>
      </c>
      <c r="H434" s="6">
        <v>500</v>
      </c>
      <c r="I434" s="13" t="str">
        <f>HYPERLINK("http://www.sobesicke-pivo.cz","http://www.sobesicke-pivo.cz")</f>
        <v>http://www.sobesicke-pivo.cz</v>
      </c>
      <c r="J434" s="13" t="str">
        <f>HYPERLINK("https://www.facebook.com/PrvniSobesickyPivovar","https://www.facebook.com/PrvniSobesickyPivovar")</f>
        <v>https://www.facebook.com/PrvniSobesickyPivovar</v>
      </c>
      <c r="K434" s="6" t="s">
        <v>3738</v>
      </c>
      <c r="L434" s="6"/>
      <c r="M434" s="6"/>
      <c r="N434" s="6"/>
      <c r="O434" s="6" t="s">
        <v>3739</v>
      </c>
      <c r="P434" s="6"/>
      <c r="Q434" s="6"/>
      <c r="R434" s="6" t="s">
        <v>3740</v>
      </c>
      <c r="S434" s="28">
        <v>49.2548247</v>
      </c>
      <c r="T434" s="28">
        <v>16.6229403</v>
      </c>
      <c r="U434" s="6"/>
      <c r="V434" s="6"/>
      <c r="W434" s="6"/>
      <c r="X434" s="6"/>
      <c r="Y434" s="6"/>
      <c r="Z434" s="6"/>
      <c r="AA434" s="6"/>
      <c r="AB434" s="6"/>
      <c r="AD434" s="6"/>
      <c r="AE434" s="16"/>
      <c r="AF434" t="str">
        <f t="shared" si="0"/>
        <v/>
      </c>
    </row>
    <row r="435" spans="1:37">
      <c r="A435" s="6">
        <v>406</v>
      </c>
      <c r="B435" s="6" t="s">
        <v>3741</v>
      </c>
      <c r="C435" s="6" t="s">
        <v>3742</v>
      </c>
      <c r="D435" s="6" t="s">
        <v>3743</v>
      </c>
      <c r="E435" s="12" t="s">
        <v>3744</v>
      </c>
      <c r="F435" s="6" t="s">
        <v>73</v>
      </c>
      <c r="G435" s="11">
        <v>2017</v>
      </c>
      <c r="H435" s="6"/>
      <c r="I435" s="13" t="str">
        <f>HYPERLINK("http://www.pivokrum.cz","http://www.pivokrum.cz")</f>
        <v>http://www.pivokrum.cz</v>
      </c>
      <c r="J435" s="13" t="str">
        <f>HYPERLINK("https://www.facebook.com/HotelRokiten","https://www.facebook.com/HotelRokiten")</f>
        <v>https://www.facebook.com/HotelRokiten</v>
      </c>
      <c r="K435" s="6" t="s">
        <v>3745</v>
      </c>
      <c r="L435" s="6"/>
      <c r="M435" s="6"/>
      <c r="N435" s="6"/>
      <c r="O435" s="6" t="s">
        <v>3741</v>
      </c>
      <c r="P435" s="6" t="s">
        <v>3746</v>
      </c>
      <c r="Q435" s="15" t="s">
        <v>3747</v>
      </c>
      <c r="R435" s="6" t="s">
        <v>3748</v>
      </c>
      <c r="S435" s="28">
        <v>49.0390242</v>
      </c>
      <c r="T435" s="28">
        <v>16.312412800000001</v>
      </c>
      <c r="U435" s="6"/>
      <c r="V435" s="6"/>
      <c r="W435" s="6"/>
      <c r="X435" s="6"/>
      <c r="Y435" s="6"/>
      <c r="Z435" s="6"/>
      <c r="AA435" s="6"/>
      <c r="AB435" s="6" t="s">
        <v>47</v>
      </c>
      <c r="AD435" s="6" t="s">
        <v>47</v>
      </c>
      <c r="AE435" s="17" t="s">
        <v>47</v>
      </c>
      <c r="AF435" t="str">
        <f t="shared" si="0"/>
        <v>ANO</v>
      </c>
    </row>
    <row r="436" spans="1:37">
      <c r="A436" s="6">
        <v>407</v>
      </c>
      <c r="B436" s="6" t="s">
        <v>3749</v>
      </c>
      <c r="C436" s="6" t="s">
        <v>3750</v>
      </c>
      <c r="D436" s="6" t="s">
        <v>208</v>
      </c>
      <c r="E436" s="12" t="s">
        <v>3751</v>
      </c>
      <c r="F436" s="6" t="s">
        <v>73</v>
      </c>
      <c r="G436" s="11">
        <v>2017</v>
      </c>
      <c r="H436" s="6"/>
      <c r="I436" s="13" t="str">
        <f>HYPERLINK("http://www.hradeckyklenot.cz","http://www.hradeckyklenot.cz")</f>
        <v>http://www.hradeckyklenot.cz</v>
      </c>
      <c r="J436" s="13" t="str">
        <f>HYPERLINK("https://www.facebook.com/hradeckyklenot","https://www.facebook.com/hradeckyklenot")</f>
        <v>https://www.facebook.com/hradeckyklenot</v>
      </c>
      <c r="K436" s="6" t="s">
        <v>3752</v>
      </c>
      <c r="L436" s="6"/>
      <c r="M436" s="6"/>
      <c r="N436" s="6"/>
      <c r="O436" s="6" t="s">
        <v>3749</v>
      </c>
      <c r="P436" s="6"/>
      <c r="Q436" s="15" t="s">
        <v>3753</v>
      </c>
      <c r="R436" s="6" t="s">
        <v>3754</v>
      </c>
      <c r="S436" s="28">
        <v>50.209446100000001</v>
      </c>
      <c r="T436" s="28">
        <v>15.8347917</v>
      </c>
      <c r="U436" s="6"/>
      <c r="V436" s="6"/>
      <c r="W436" s="6"/>
      <c r="X436" s="6"/>
      <c r="Y436" s="6"/>
      <c r="Z436" s="6"/>
      <c r="AA436" s="6"/>
      <c r="AB436" s="6" t="s">
        <v>47</v>
      </c>
      <c r="AD436" s="6"/>
      <c r="AE436" s="16"/>
      <c r="AF436" t="str">
        <f t="shared" si="0"/>
        <v>ANO</v>
      </c>
    </row>
    <row r="437" spans="1:37">
      <c r="A437" s="6">
        <v>408</v>
      </c>
      <c r="B437" s="6" t="s">
        <v>3755</v>
      </c>
      <c r="C437" s="6" t="s">
        <v>3756</v>
      </c>
      <c r="D437" s="6" t="s">
        <v>3755</v>
      </c>
      <c r="E437" s="12" t="s">
        <v>3757</v>
      </c>
      <c r="F437" s="6" t="s">
        <v>73</v>
      </c>
      <c r="G437" s="11">
        <v>2017</v>
      </c>
      <c r="H437" s="6"/>
      <c r="I437" s="13" t="str">
        <f>HYPERLINK("http://pivovarsokolnice.cz","http://pivovarsokolnice.cz")</f>
        <v>http://pivovarsokolnice.cz</v>
      </c>
      <c r="J437" s="6"/>
      <c r="K437" s="6" t="s">
        <v>3758</v>
      </c>
      <c r="L437" s="6"/>
      <c r="M437" s="6"/>
      <c r="N437" s="6"/>
      <c r="O437" s="6" t="s">
        <v>3759</v>
      </c>
      <c r="P437" s="6"/>
      <c r="Q437" s="15" t="s">
        <v>3760</v>
      </c>
      <c r="R437" s="6" t="s">
        <v>3761</v>
      </c>
      <c r="S437" s="28">
        <v>49.118882800000002</v>
      </c>
      <c r="T437" s="28">
        <v>16.7274128</v>
      </c>
      <c r="U437" s="6"/>
      <c r="V437" s="6"/>
      <c r="W437" s="6"/>
      <c r="X437" s="6"/>
      <c r="Y437" s="6"/>
      <c r="Z437" s="6"/>
      <c r="AA437" s="6"/>
      <c r="AB437" s="6"/>
      <c r="AC437" s="6" t="s">
        <v>47</v>
      </c>
      <c r="AD437" s="12"/>
      <c r="AE437" s="17" t="s">
        <v>47</v>
      </c>
      <c r="AF437" t="str">
        <f t="shared" si="0"/>
        <v>ANO</v>
      </c>
    </row>
    <row r="438" spans="1:37">
      <c r="A438" s="6">
        <v>409</v>
      </c>
      <c r="B438" s="6" t="s">
        <v>3762</v>
      </c>
      <c r="C438" s="6" t="s">
        <v>3763</v>
      </c>
      <c r="D438" s="6" t="s">
        <v>3764</v>
      </c>
      <c r="E438" s="12" t="s">
        <v>3765</v>
      </c>
      <c r="F438" s="6" t="s">
        <v>57</v>
      </c>
      <c r="G438" s="11">
        <v>2017</v>
      </c>
      <c r="H438" s="6"/>
      <c r="I438" s="13" t="str">
        <f>HYPERLINK("http://www.pivovar-moravia.cz","http://www.pivovar-moravia.cz")</f>
        <v>http://www.pivovar-moravia.cz</v>
      </c>
      <c r="J438" s="13" t="str">
        <f>HYPERLINK("https://www.facebook.com/pivovarmoravia","https://www.facebook.com/pivovarmoravia")</f>
        <v>https://www.facebook.com/pivovarmoravia</v>
      </c>
      <c r="K438" s="6" t="s">
        <v>3766</v>
      </c>
      <c r="L438" s="6" t="s">
        <v>2138</v>
      </c>
      <c r="M438" s="6"/>
      <c r="N438" s="6"/>
      <c r="O438" s="6" t="s">
        <v>3767</v>
      </c>
      <c r="P438" s="6"/>
      <c r="Q438" s="6"/>
      <c r="R438" s="6" t="s">
        <v>3769</v>
      </c>
      <c r="S438" s="28">
        <v>49.242503300000003</v>
      </c>
      <c r="T438" s="28">
        <v>16.574491399999999</v>
      </c>
      <c r="U438" s="6"/>
      <c r="V438" s="6"/>
      <c r="W438" s="6"/>
      <c r="X438" s="6"/>
      <c r="Y438" s="6"/>
      <c r="Z438" s="6"/>
      <c r="AA438" s="6"/>
      <c r="AB438" s="6"/>
      <c r="AD438" s="6"/>
      <c r="AE438" s="16"/>
      <c r="AF438" t="str">
        <f t="shared" si="0"/>
        <v/>
      </c>
    </row>
    <row r="439" spans="1:37">
      <c r="A439" s="6">
        <v>410</v>
      </c>
      <c r="B439" s="6" t="s">
        <v>3771</v>
      </c>
      <c r="C439" s="6" t="s">
        <v>3772</v>
      </c>
      <c r="D439" s="6" t="s">
        <v>3773</v>
      </c>
      <c r="E439" s="12" t="s">
        <v>3774</v>
      </c>
      <c r="F439" s="6" t="s">
        <v>57</v>
      </c>
      <c r="G439" s="11">
        <v>2017</v>
      </c>
      <c r="H439" s="6"/>
      <c r="I439" s="13" t="str">
        <f>HYPERLINK("http://www.hanackypivovar.cz","http://www.hanackypivovar.cz")</f>
        <v>http://www.hanackypivovar.cz</v>
      </c>
      <c r="J439" s="13" t="str">
        <f>HYPERLINK("https://www.facebook.com/hanackypivovar","https://www.facebook.com/hanackypivovar")</f>
        <v>https://www.facebook.com/hanackypivovar</v>
      </c>
      <c r="K439" s="6" t="s">
        <v>3775</v>
      </c>
      <c r="L439" s="6"/>
      <c r="M439" s="6"/>
      <c r="N439" s="6"/>
      <c r="O439" s="6" t="s">
        <v>3776</v>
      </c>
      <c r="P439" s="6"/>
      <c r="Q439" s="6"/>
      <c r="R439" s="6" t="s">
        <v>3777</v>
      </c>
      <c r="S439" s="28">
        <v>49.574313600000004</v>
      </c>
      <c r="T439" s="41">
        <v>17.277994199999998</v>
      </c>
      <c r="U439" s="6"/>
      <c r="V439" s="6"/>
      <c r="W439" s="6"/>
      <c r="X439" s="6"/>
      <c r="Y439" s="6"/>
      <c r="Z439" s="6"/>
      <c r="AA439" s="6"/>
      <c r="AB439" s="6"/>
      <c r="AD439" s="6"/>
      <c r="AE439" s="16"/>
      <c r="AF439" t="str">
        <f t="shared" si="0"/>
        <v/>
      </c>
    </row>
    <row r="440" spans="1:37">
      <c r="A440" s="6">
        <v>411</v>
      </c>
      <c r="B440" s="6" t="s">
        <v>3782</v>
      </c>
      <c r="C440" s="6" t="s">
        <v>3783</v>
      </c>
      <c r="D440" s="32" t="s">
        <v>702</v>
      </c>
      <c r="E440" s="12" t="s">
        <v>3784</v>
      </c>
      <c r="F440" s="12" t="s">
        <v>848</v>
      </c>
      <c r="G440" s="11">
        <v>2017</v>
      </c>
      <c r="I440" s="13" t="str">
        <f>HYPERLINK("http://www.pivovarfilistin.cz","http://www.pivovarfilistin.cz")</f>
        <v>http://www.pivovarfilistin.cz</v>
      </c>
      <c r="J440" s="42" t="str">
        <f>HYPERLINK("https://www.facebook.com/Chrudimský-pivovar-Filištín-710162185850950","https://www.facebook.com/Chrudimský-pivovar-Filištín-710162185850950")</f>
        <v>https://www.facebook.com/Chrudimský-pivovar-Filištín-710162185850950</v>
      </c>
      <c r="K440" t="s">
        <v>3785</v>
      </c>
      <c r="O440" t="s">
        <v>3782</v>
      </c>
      <c r="R440" t="s">
        <v>3786</v>
      </c>
      <c r="S440">
        <v>49.952545000000001</v>
      </c>
      <c r="T440">
        <v>15.793381699999999</v>
      </c>
      <c r="AD440" s="6"/>
      <c r="AE440" s="16"/>
      <c r="AF440" t="str">
        <f t="shared" si="0"/>
        <v/>
      </c>
    </row>
    <row r="441" spans="1:37">
      <c r="A441" s="6">
        <v>412</v>
      </c>
      <c r="B441" s="6" t="s">
        <v>3787</v>
      </c>
      <c r="C441" s="6" t="s">
        <v>3788</v>
      </c>
      <c r="D441" s="32" t="s">
        <v>3789</v>
      </c>
      <c r="E441" s="12" t="s">
        <v>3790</v>
      </c>
      <c r="F441" s="6" t="s">
        <v>57</v>
      </c>
      <c r="G441" s="11">
        <v>2017</v>
      </c>
      <c r="I441" s="36" t="str">
        <f>HYPERLINK("http://geniusnoci.cz","http://geniusnoci.cz")</f>
        <v>http://geniusnoci.cz</v>
      </c>
      <c r="J441" s="43" t="str">
        <f>HYPERLINK("https://www.facebook.com/GeniusNoci","https://www.facebook.com/GeniusNoci")</f>
        <v>https://www.facebook.com/GeniusNoci</v>
      </c>
      <c r="K441" t="s">
        <v>3792</v>
      </c>
      <c r="M441" s="44" t="s">
        <v>3793</v>
      </c>
      <c r="O441" s="44"/>
      <c r="R441" t="s">
        <v>3794</v>
      </c>
      <c r="S441">
        <v>49.404768900000001</v>
      </c>
      <c r="T441">
        <v>16.4140619</v>
      </c>
      <c r="AD441" s="6"/>
      <c r="AE441" s="16"/>
      <c r="AF441" t="str">
        <f t="shared" si="0"/>
        <v/>
      </c>
    </row>
    <row r="442" spans="1:37">
      <c r="A442" s="6">
        <v>413</v>
      </c>
      <c r="B442" t="s">
        <v>3795</v>
      </c>
      <c r="C442" s="6" t="s">
        <v>3796</v>
      </c>
      <c r="D442" s="44" t="s">
        <v>3795</v>
      </c>
      <c r="E442" s="12" t="s">
        <v>3797</v>
      </c>
      <c r="F442" s="6" t="s">
        <v>57</v>
      </c>
      <c r="G442" s="11">
        <v>2017</v>
      </c>
      <c r="I442" s="44"/>
      <c r="J442" s="44"/>
      <c r="K442" t="s">
        <v>3798</v>
      </c>
      <c r="M442" s="6" t="s">
        <v>3799</v>
      </c>
      <c r="O442" s="6" t="s">
        <v>3800</v>
      </c>
      <c r="R442" t="s">
        <v>3801</v>
      </c>
      <c r="S442">
        <v>49.266821700000001</v>
      </c>
      <c r="T442">
        <v>13.595723599999999</v>
      </c>
      <c r="AD442" s="6"/>
      <c r="AE442" s="16"/>
      <c r="AF442" t="str">
        <f t="shared" si="0"/>
        <v/>
      </c>
    </row>
    <row r="443" spans="1:37">
      <c r="A443" s="19">
        <v>413</v>
      </c>
      <c r="B443" s="20" t="s">
        <v>1635</v>
      </c>
      <c r="C443" s="20" t="s">
        <v>3802</v>
      </c>
      <c r="D443" s="45" t="s">
        <v>1635</v>
      </c>
      <c r="E443" s="23" t="s">
        <v>3804</v>
      </c>
      <c r="F443" s="23" t="s">
        <v>113</v>
      </c>
      <c r="G443" s="24">
        <v>1680.2017000000001</v>
      </c>
      <c r="H443" s="19">
        <v>13000</v>
      </c>
      <c r="I443" s="20" t="s">
        <v>3805</v>
      </c>
      <c r="J443" s="20" t="s">
        <v>3806</v>
      </c>
      <c r="K443" s="16" t="s">
        <v>3807</v>
      </c>
      <c r="L443" s="45"/>
      <c r="M443" s="16" t="s">
        <v>3808</v>
      </c>
      <c r="N443" s="20"/>
      <c r="O443" s="46" t="s">
        <v>3809</v>
      </c>
      <c r="P443" s="20"/>
      <c r="Q443" s="27" t="s">
        <v>3810</v>
      </c>
      <c r="R443" s="20" t="s">
        <v>3811</v>
      </c>
      <c r="S443" s="19">
        <v>49.275928899999997</v>
      </c>
      <c r="T443" s="19">
        <v>16.999093899999998</v>
      </c>
      <c r="U443" s="20"/>
      <c r="V443" s="20"/>
      <c r="W443" s="20"/>
      <c r="X443" s="20"/>
      <c r="Y443" s="20"/>
      <c r="Z443" s="20"/>
      <c r="AA443" s="20"/>
      <c r="AB443" s="20"/>
      <c r="AC443" s="20"/>
      <c r="AD443" s="20"/>
      <c r="AE443" s="20"/>
      <c r="AF443" t="str">
        <f t="shared" si="0"/>
        <v/>
      </c>
      <c r="AG443" s="20"/>
      <c r="AH443" s="20"/>
      <c r="AI443" s="20"/>
      <c r="AJ443" s="20"/>
      <c r="AK443" s="20"/>
    </row>
    <row r="444" spans="1:37">
      <c r="A444" s="6">
        <v>414</v>
      </c>
      <c r="B444" s="6" t="s">
        <v>3812</v>
      </c>
      <c r="C444" s="6" t="s">
        <v>3813</v>
      </c>
      <c r="D444" s="32" t="s">
        <v>1346</v>
      </c>
      <c r="E444" s="12" t="s">
        <v>3814</v>
      </c>
      <c r="F444" s="6" t="s">
        <v>73</v>
      </c>
      <c r="G444" s="11">
        <v>2017</v>
      </c>
      <c r="I444" s="36" t="str">
        <f>HYPERLINK("http://piseckypivovar.cz","http://piseckypivovar.cz")</f>
        <v>http://piseckypivovar.cz</v>
      </c>
      <c r="J444" s="43" t="str">
        <f>HYPERLINK("https://www.facebook.com/piseckypivovar","https://www.facebook.com/piseckypivovar")</f>
        <v>https://www.facebook.com/piseckypivovar</v>
      </c>
      <c r="K444" t="s">
        <v>3815</v>
      </c>
      <c r="M444" s="44"/>
      <c r="O444" s="44"/>
      <c r="P444" s="44"/>
      <c r="R444" t="s">
        <v>3816</v>
      </c>
      <c r="S444">
        <v>49.308858600000001</v>
      </c>
      <c r="T444">
        <v>14.150296900000001</v>
      </c>
      <c r="AD444" s="6"/>
      <c r="AE444" s="16"/>
      <c r="AF444" t="str">
        <f t="shared" si="0"/>
        <v/>
      </c>
    </row>
    <row r="445" spans="1:37">
      <c r="A445" s="6">
        <v>415</v>
      </c>
      <c r="B445" s="6" t="s">
        <v>3817</v>
      </c>
      <c r="C445" s="6" t="s">
        <v>3818</v>
      </c>
      <c r="D445" s="6" t="s">
        <v>3819</v>
      </c>
      <c r="E445" s="12" t="s">
        <v>3820</v>
      </c>
      <c r="F445" s="6" t="s">
        <v>38</v>
      </c>
      <c r="G445" s="11">
        <v>2017</v>
      </c>
      <c r="I445" s="13" t="str">
        <f>HYPERLINK("http://www.zenke.cz","http://www.zenke.cz")</f>
        <v>http://www.zenke.cz</v>
      </c>
      <c r="K445" t="s">
        <v>3821</v>
      </c>
      <c r="M445" s="44"/>
      <c r="O445" s="44" t="s">
        <v>3817</v>
      </c>
      <c r="Q445" s="47" t="s">
        <v>3822</v>
      </c>
      <c r="R445" t="s">
        <v>3823</v>
      </c>
      <c r="S445">
        <v>49.559855599999999</v>
      </c>
      <c r="T445">
        <v>18.105336900000001</v>
      </c>
      <c r="AB445" t="s">
        <v>47</v>
      </c>
      <c r="AD445" s="6"/>
      <c r="AE445" s="16"/>
      <c r="AF445" t="str">
        <f t="shared" si="0"/>
        <v>ANO</v>
      </c>
    </row>
    <row r="446" spans="1:37">
      <c r="A446" s="6">
        <v>416</v>
      </c>
      <c r="B446" s="6" t="s">
        <v>3824</v>
      </c>
      <c r="C446" s="6" t="s">
        <v>3825</v>
      </c>
      <c r="D446" s="6" t="s">
        <v>3826</v>
      </c>
      <c r="E446" s="12" t="s">
        <v>3827</v>
      </c>
      <c r="F446" s="6" t="s">
        <v>73</v>
      </c>
      <c r="G446" s="11">
        <v>2017</v>
      </c>
      <c r="I446" s="48" t="s">
        <v>3828</v>
      </c>
      <c r="J446" s="43" t="str">
        <f>HYPERLINK("https://www.facebook.com/pivovarchmelnice","https://www.facebook.com/pivovarchmelnice")</f>
        <v>https://www.facebook.com/pivovarchmelnice</v>
      </c>
      <c r="K446" t="s">
        <v>3829</v>
      </c>
      <c r="O446" s="6" t="s">
        <v>3830</v>
      </c>
      <c r="Q446" s="47" t="s">
        <v>3831</v>
      </c>
      <c r="R446" t="s">
        <v>3832</v>
      </c>
      <c r="S446">
        <v>49.177071400000003</v>
      </c>
      <c r="T446">
        <v>17.5169572</v>
      </c>
      <c r="AD446" s="6"/>
      <c r="AE446" s="17" t="s">
        <v>47</v>
      </c>
      <c r="AF446" t="str">
        <f t="shared" si="0"/>
        <v>ANO</v>
      </c>
    </row>
    <row r="447" spans="1:37">
      <c r="A447" s="6">
        <v>417</v>
      </c>
      <c r="B447" s="6" t="s">
        <v>3833</v>
      </c>
      <c r="C447" s="6" t="s">
        <v>3834</v>
      </c>
      <c r="D447" s="32" t="s">
        <v>1163</v>
      </c>
      <c r="E447" s="12" t="s">
        <v>3835</v>
      </c>
      <c r="F447" s="6" t="s">
        <v>73</v>
      </c>
      <c r="G447" s="11">
        <v>2017</v>
      </c>
      <c r="I447" s="13" t="str">
        <f>HYPERLINK("http://www.boudamama.cz","http://www.boudamama.cz")</f>
        <v>http://www.boudamama.cz</v>
      </c>
      <c r="J447" s="42" t="str">
        <f>HYPERLINK("https://www.facebook.com/peckypivovar","https://www.facebook.com/peckypivovar")</f>
        <v>https://www.facebook.com/peckypivovar</v>
      </c>
      <c r="K447" s="6" t="s">
        <v>3836</v>
      </c>
      <c r="M447" s="44"/>
      <c r="O447" s="44"/>
      <c r="P447" s="44"/>
      <c r="R447" t="s">
        <v>3837</v>
      </c>
      <c r="S447">
        <v>50.708066700000003</v>
      </c>
      <c r="T447">
        <v>15.7325547</v>
      </c>
      <c r="AD447" s="6"/>
      <c r="AE447" s="16"/>
      <c r="AF447" t="str">
        <f t="shared" si="0"/>
        <v/>
      </c>
    </row>
    <row r="448" spans="1:37">
      <c r="A448" s="6">
        <v>418</v>
      </c>
      <c r="B448" s="6" t="s">
        <v>3838</v>
      </c>
      <c r="C448" s="6" t="s">
        <v>3839</v>
      </c>
      <c r="D448" s="32" t="s">
        <v>3840</v>
      </c>
      <c r="E448" s="12" t="s">
        <v>3841</v>
      </c>
      <c r="F448" s="6" t="s">
        <v>73</v>
      </c>
      <c r="G448" s="11">
        <v>2017</v>
      </c>
      <c r="H448" s="6"/>
      <c r="I448" s="36" t="str">
        <f>HYPERLINK("https://www.hotelpalacecinema.cz","https://www.hotelpalacecinema.cz")</f>
        <v>https://www.hotelpalacecinema.cz</v>
      </c>
      <c r="J448" s="13" t="str">
        <f>HYPERLINK("https://www.facebook.com/HotelPalaceCinema","https://www.facebook.com/HotelPalaceCinema")</f>
        <v>https://www.facebook.com/HotelPalaceCinema</v>
      </c>
      <c r="K448" s="44" t="s">
        <v>3842</v>
      </c>
      <c r="L448" s="6"/>
      <c r="M448" s="32"/>
      <c r="N448" s="6"/>
      <c r="O448" s="6" t="s">
        <v>3843</v>
      </c>
      <c r="P448" s="44"/>
      <c r="R448" s="6" t="s">
        <v>3844</v>
      </c>
      <c r="S448">
        <v>49.924813899999997</v>
      </c>
      <c r="T448">
        <v>14.335364999999999</v>
      </c>
      <c r="AD448" s="6"/>
      <c r="AE448" s="16"/>
      <c r="AF448" t="str">
        <f t="shared" si="0"/>
        <v/>
      </c>
    </row>
    <row r="449" spans="1:37">
      <c r="A449" s="6">
        <v>419</v>
      </c>
      <c r="B449" s="6" t="s">
        <v>3845</v>
      </c>
      <c r="C449" s="6" t="s">
        <v>3846</v>
      </c>
      <c r="D449" s="6" t="s">
        <v>3847</v>
      </c>
      <c r="E449" s="12" t="s">
        <v>3848</v>
      </c>
      <c r="F449" s="6" t="s">
        <v>57</v>
      </c>
      <c r="G449" s="11">
        <v>2017</v>
      </c>
      <c r="I449" s="48" t="s">
        <v>3849</v>
      </c>
      <c r="J449" s="43" t="str">
        <f>HYPERLINK("https://www.facebook.com/pivovarzstage","https://www.facebook.com/pivovarzstage")</f>
        <v>https://www.facebook.com/pivovarzstage</v>
      </c>
      <c r="K449" t="s">
        <v>3850</v>
      </c>
      <c r="R449" t="s">
        <v>3851</v>
      </c>
      <c r="S449">
        <v>49.587938600000001</v>
      </c>
      <c r="T449">
        <v>17.346683299999999</v>
      </c>
      <c r="AD449" s="6"/>
      <c r="AE449" s="16"/>
      <c r="AF449" t="str">
        <f t="shared" si="0"/>
        <v/>
      </c>
    </row>
    <row r="450" spans="1:37">
      <c r="A450" s="6">
        <v>420</v>
      </c>
      <c r="B450" s="6" t="s">
        <v>3852</v>
      </c>
      <c r="C450" s="6" t="s">
        <v>3853</v>
      </c>
      <c r="D450" s="32" t="s">
        <v>3854</v>
      </c>
      <c r="E450" s="12" t="s">
        <v>3855</v>
      </c>
      <c r="F450" s="6" t="s">
        <v>57</v>
      </c>
      <c r="G450" s="11">
        <v>2017</v>
      </c>
      <c r="I450" s="13" t="str">
        <f>HYPERLINK("https://www.neratov.cz","https://www.neratov.cz")</f>
        <v>https://www.neratov.cz</v>
      </c>
      <c r="J450" s="36" t="str">
        <f>HYPERLINK("https://www.facebook.com/PivovarNeratov","https://www.facebook.com/PivovarNeratov")</f>
        <v>https://www.facebook.com/PivovarNeratov</v>
      </c>
      <c r="K450" s="32" t="s">
        <v>3856</v>
      </c>
      <c r="O450" s="32" t="s">
        <v>3857</v>
      </c>
      <c r="R450" t="s">
        <v>3858</v>
      </c>
      <c r="S450">
        <v>50.214856699999999</v>
      </c>
      <c r="T450">
        <v>16.552937799999999</v>
      </c>
      <c r="AD450" s="6"/>
      <c r="AE450" s="16"/>
      <c r="AF450" t="str">
        <f t="shared" si="0"/>
        <v/>
      </c>
    </row>
    <row r="451" spans="1:37">
      <c r="A451" s="6">
        <v>421</v>
      </c>
      <c r="B451" s="6" t="s">
        <v>3859</v>
      </c>
      <c r="C451" s="6" t="s">
        <v>3860</v>
      </c>
      <c r="D451" s="32" t="s">
        <v>1778</v>
      </c>
      <c r="E451" s="12" t="s">
        <v>3861</v>
      </c>
      <c r="F451" s="6" t="s">
        <v>38</v>
      </c>
      <c r="G451" s="11">
        <v>2017</v>
      </c>
      <c r="I451" s="36" t="str">
        <f>HYPERLINK("http://www.hroch-liberec.cz","http://www.hroch-liberec.cz")</f>
        <v>http://www.hroch-liberec.cz</v>
      </c>
      <c r="J451" s="49" t="s">
        <v>3862</v>
      </c>
      <c r="K451" s="32" t="s">
        <v>3863</v>
      </c>
      <c r="O451" s="32" t="s">
        <v>3859</v>
      </c>
      <c r="P451" s="44"/>
      <c r="R451" s="6" t="s">
        <v>3864</v>
      </c>
      <c r="S451">
        <v>50.770114399999997</v>
      </c>
      <c r="T451">
        <v>15.089685599999999</v>
      </c>
      <c r="AD451" s="6"/>
      <c r="AE451" s="16"/>
      <c r="AF451" t="str">
        <f t="shared" si="0"/>
        <v/>
      </c>
    </row>
    <row r="452" spans="1:37">
      <c r="A452" s="6">
        <v>422</v>
      </c>
      <c r="B452" s="6" t="s">
        <v>3865</v>
      </c>
      <c r="C452" s="6" t="s">
        <v>3866</v>
      </c>
      <c r="D452" s="32" t="s">
        <v>2527</v>
      </c>
      <c r="E452" s="12" t="s">
        <v>3867</v>
      </c>
      <c r="F452" s="6" t="s">
        <v>57</v>
      </c>
      <c r="G452" s="11">
        <v>2017</v>
      </c>
      <c r="I452" s="13" t="str">
        <f>HYPERLINK("http://www.pivovartrilobit.com","http://www.pivovartrilobit.com")</f>
        <v>http://www.pivovartrilobit.com</v>
      </c>
      <c r="J452" s="36" t="str">
        <f>HYPERLINK("https://www.facebook.com/pivovartrilobit","https://www.facebook.com/pivovartrilobit")</f>
        <v>https://www.facebook.com/pivovartrilobit</v>
      </c>
      <c r="K452" s="44" t="s">
        <v>3868</v>
      </c>
      <c r="M452" s="44"/>
      <c r="O452" s="32" t="s">
        <v>3865</v>
      </c>
      <c r="P452" s="44"/>
      <c r="R452" t="s">
        <v>3869</v>
      </c>
      <c r="S452">
        <v>50.107541699999999</v>
      </c>
      <c r="T452">
        <v>14.476061100000001</v>
      </c>
      <c r="AD452" s="6"/>
      <c r="AE452" s="16"/>
      <c r="AF452" t="str">
        <f t="shared" si="0"/>
        <v/>
      </c>
    </row>
    <row r="453" spans="1:37">
      <c r="A453" s="6">
        <v>423</v>
      </c>
      <c r="B453" t="s">
        <v>3870</v>
      </c>
      <c r="C453" t="s">
        <v>3871</v>
      </c>
      <c r="D453" s="44" t="s">
        <v>3872</v>
      </c>
      <c r="E453" s="12" t="s">
        <v>3873</v>
      </c>
      <c r="F453" s="6" t="s">
        <v>38</v>
      </c>
      <c r="G453" s="18">
        <v>2017</v>
      </c>
      <c r="I453" s="42" t="str">
        <f>HYPERLINK("https://pivovarkail.cz","https://pivovarkail.cz")</f>
        <v>https://pivovarkail.cz</v>
      </c>
      <c r="J453" s="43" t="str">
        <f>HYPERLINK("https://www.facebook.com/pivovarkail","https://www.facebook.com/pivovarkail")</f>
        <v>https://www.facebook.com/pivovarkail</v>
      </c>
      <c r="K453" s="44" t="s">
        <v>3874</v>
      </c>
      <c r="M453" s="44"/>
      <c r="N453" s="9" t="s">
        <v>3875</v>
      </c>
      <c r="O453" s="44" t="s">
        <v>3876</v>
      </c>
      <c r="R453" t="s">
        <v>3877</v>
      </c>
      <c r="S453">
        <v>50.001955799999998</v>
      </c>
      <c r="T453">
        <v>14.3947442</v>
      </c>
      <c r="AD453" s="6"/>
      <c r="AE453" s="16"/>
      <c r="AF453" t="str">
        <f t="shared" si="0"/>
        <v/>
      </c>
    </row>
    <row r="454" spans="1:37">
      <c r="A454" s="6">
        <v>424</v>
      </c>
      <c r="B454" s="21" t="s">
        <v>3878</v>
      </c>
      <c r="C454" s="21" t="s">
        <v>3879</v>
      </c>
      <c r="D454" s="21" t="s">
        <v>3880</v>
      </c>
      <c r="E454" s="22" t="s">
        <v>3881</v>
      </c>
      <c r="F454" s="20" t="s">
        <v>57</v>
      </c>
      <c r="G454" s="35">
        <v>2017</v>
      </c>
      <c r="H454" s="21"/>
      <c r="I454" s="21"/>
      <c r="J454" s="50"/>
      <c r="K454" s="51"/>
      <c r="L454" s="21"/>
      <c r="M454" s="51"/>
      <c r="N454" s="21"/>
      <c r="O454" s="51"/>
      <c r="P454" s="51"/>
      <c r="Q454" s="52" t="s">
        <v>3882</v>
      </c>
      <c r="R454" s="21" t="s">
        <v>3883</v>
      </c>
      <c r="S454" s="53">
        <v>50.010496400000001</v>
      </c>
      <c r="T454" s="53">
        <v>15.2921069</v>
      </c>
      <c r="U454" s="21"/>
      <c r="V454" s="21"/>
      <c r="W454" s="21"/>
      <c r="X454" s="21"/>
      <c r="Y454" s="21"/>
      <c r="Z454" s="21"/>
      <c r="AA454" s="21"/>
      <c r="AB454" s="21"/>
      <c r="AC454" s="21" t="s">
        <v>47</v>
      </c>
      <c r="AD454" s="21"/>
      <c r="AE454" s="20" t="s">
        <v>47</v>
      </c>
      <c r="AF454" t="str">
        <f t="shared" si="0"/>
        <v>ANO</v>
      </c>
      <c r="AG454" s="21"/>
      <c r="AH454" s="21"/>
      <c r="AI454" s="21"/>
      <c r="AJ454" s="21"/>
      <c r="AK454" s="21"/>
    </row>
    <row r="455" spans="1:37">
      <c r="A455" s="6">
        <v>425</v>
      </c>
      <c r="B455" s="21" t="s">
        <v>3884</v>
      </c>
      <c r="C455" s="21" t="s">
        <v>3885</v>
      </c>
      <c r="D455" s="51" t="s">
        <v>3886</v>
      </c>
      <c r="E455" s="50" t="s">
        <v>3887</v>
      </c>
      <c r="F455" s="20" t="s">
        <v>57</v>
      </c>
      <c r="G455" s="35">
        <v>2017</v>
      </c>
      <c r="H455" s="21"/>
      <c r="I455" s="54" t="s">
        <v>3888</v>
      </c>
      <c r="J455" s="55" t="s">
        <v>3889</v>
      </c>
      <c r="K455" s="21" t="s">
        <v>3890</v>
      </c>
      <c r="L455" s="21"/>
      <c r="M455" s="21"/>
      <c r="N455" s="56" t="s">
        <v>3891</v>
      </c>
      <c r="O455" s="57" t="s">
        <v>3892</v>
      </c>
      <c r="P455" s="21"/>
      <c r="Q455" s="52" t="s">
        <v>3893</v>
      </c>
      <c r="R455" s="21" t="s">
        <v>3894</v>
      </c>
      <c r="S455" s="53">
        <v>50.725210799999999</v>
      </c>
      <c r="T455" s="53">
        <v>15.377621100000001</v>
      </c>
      <c r="U455" s="21"/>
      <c r="V455" s="21"/>
      <c r="W455" s="21"/>
      <c r="X455" s="21"/>
      <c r="Y455" s="21"/>
      <c r="Z455" s="21"/>
      <c r="AA455" s="21"/>
      <c r="AB455" s="21"/>
      <c r="AC455" s="21"/>
      <c r="AD455" s="20"/>
      <c r="AE455" s="20"/>
      <c r="AF455" t="str">
        <f t="shared" si="0"/>
        <v/>
      </c>
      <c r="AG455" s="21"/>
      <c r="AH455" s="21"/>
      <c r="AI455" s="21"/>
      <c r="AJ455" s="21"/>
      <c r="AK455" s="21"/>
    </row>
    <row r="456" spans="1:37">
      <c r="A456" s="6">
        <v>426</v>
      </c>
      <c r="B456" t="s">
        <v>3895</v>
      </c>
      <c r="C456" t="s">
        <v>3896</v>
      </c>
      <c r="D456" t="s">
        <v>3897</v>
      </c>
      <c r="E456" s="12" t="s">
        <v>3898</v>
      </c>
      <c r="F456" s="6" t="s">
        <v>57</v>
      </c>
      <c r="G456" s="11">
        <v>2018</v>
      </c>
      <c r="I456" s="43" t="str">
        <f>HYPERLINK("https://www.pivovartor.cz","https://www.pivovartor.cz")</f>
        <v>https://www.pivovartor.cz</v>
      </c>
      <c r="J456" s="48" t="s">
        <v>3899</v>
      </c>
      <c r="K456" t="s">
        <v>3900</v>
      </c>
      <c r="L456" s="44"/>
      <c r="R456" t="s">
        <v>3901</v>
      </c>
      <c r="S456">
        <v>48.795080800000001</v>
      </c>
      <c r="T456">
        <v>16.008220600000001</v>
      </c>
      <c r="AD456" s="6"/>
      <c r="AE456" s="16"/>
      <c r="AF456" t="str">
        <f t="shared" si="0"/>
        <v/>
      </c>
    </row>
    <row r="457" spans="1:37">
      <c r="A457" s="6">
        <v>427</v>
      </c>
      <c r="B457" s="6" t="s">
        <v>3902</v>
      </c>
      <c r="C457" s="6" t="s">
        <v>3903</v>
      </c>
      <c r="D457" t="s">
        <v>1077</v>
      </c>
      <c r="E457" s="12" t="s">
        <v>3904</v>
      </c>
      <c r="F457" s="6" t="s">
        <v>73</v>
      </c>
      <c r="G457" s="11">
        <v>2018</v>
      </c>
      <c r="I457" s="13" t="str">
        <f>HYPERLINK("http://www.ricanskypivovar.cz","http://www.ricanskypivovar.cz")</f>
        <v>http://www.ricanskypivovar.cz</v>
      </c>
      <c r="J457" s="43" t="str">
        <f>HYPERLINK("https://www.facebook.com/ricanskypivovar/","https://www.facebook.com/ricanskypivovar")</f>
        <v>https://www.facebook.com/ricanskypivovar</v>
      </c>
      <c r="K457" s="32" t="s">
        <v>3905</v>
      </c>
      <c r="M457" s="44"/>
      <c r="O457" s="58" t="s">
        <v>3906</v>
      </c>
      <c r="Q457" s="47" t="s">
        <v>3907</v>
      </c>
      <c r="R457" t="s">
        <v>3908</v>
      </c>
      <c r="S457">
        <v>49.991780599999998</v>
      </c>
      <c r="T457">
        <v>14.660500600000001</v>
      </c>
      <c r="AC457" s="9" t="s">
        <v>47</v>
      </c>
      <c r="AD457" s="9"/>
      <c r="AE457" s="17" t="s">
        <v>47</v>
      </c>
      <c r="AF457" t="str">
        <f t="shared" si="0"/>
        <v>ANO</v>
      </c>
    </row>
    <row r="458" spans="1:37">
      <c r="A458" s="6">
        <v>428</v>
      </c>
      <c r="B458" s="9" t="s">
        <v>3909</v>
      </c>
      <c r="C458" s="6" t="s">
        <v>3910</v>
      </c>
      <c r="D458" s="44" t="s">
        <v>3911</v>
      </c>
      <c r="E458" s="9" t="s">
        <v>3912</v>
      </c>
      <c r="F458" s="6" t="s">
        <v>73</v>
      </c>
      <c r="G458" s="9">
        <v>2018</v>
      </c>
      <c r="I458" s="47" t="s">
        <v>3913</v>
      </c>
      <c r="J458" s="42" t="str">
        <f>HYPERLINK("https://www.facebook.com/RestauraceapenzionTopolskahospoda","https://www.facebook.com/RestauraceapenzionTopolskahospoda")</f>
        <v>https://www.facebook.com/RestauraceapenzionTopolskahospoda</v>
      </c>
      <c r="K458" s="40" t="s">
        <v>3914</v>
      </c>
      <c r="O458" s="44"/>
      <c r="P458" s="44"/>
      <c r="R458" s="9" t="s">
        <v>3915</v>
      </c>
      <c r="S458" s="12">
        <v>49.123049700000003</v>
      </c>
      <c r="T458" s="9">
        <v>17.539803899999999</v>
      </c>
      <c r="AC458" s="9" t="s">
        <v>47</v>
      </c>
      <c r="AD458" s="6"/>
      <c r="AE458" s="6"/>
      <c r="AF458" t="str">
        <f t="shared" si="0"/>
        <v>ANO</v>
      </c>
    </row>
    <row r="459" spans="1:37">
      <c r="A459" s="6">
        <v>429</v>
      </c>
      <c r="B459" s="12" t="s">
        <v>3916</v>
      </c>
      <c r="C459" s="12" t="s">
        <v>3917</v>
      </c>
      <c r="D459" s="59" t="s">
        <v>3918</v>
      </c>
      <c r="E459" s="9" t="s">
        <v>3919</v>
      </c>
      <c r="F459" s="6" t="s">
        <v>73</v>
      </c>
      <c r="G459" s="9">
        <v>2018</v>
      </c>
      <c r="I459" s="47" t="s">
        <v>3921</v>
      </c>
      <c r="J459" s="48" t="s">
        <v>3922</v>
      </c>
      <c r="K459" s="60" t="s">
        <v>3923</v>
      </c>
      <c r="O459" s="44"/>
      <c r="P459" s="44"/>
      <c r="R459" s="12" t="s">
        <v>3924</v>
      </c>
      <c r="S459" s="12">
        <v>49.299760300000003</v>
      </c>
      <c r="T459" s="9">
        <v>14.463631100000001</v>
      </c>
      <c r="AD459" s="6"/>
      <c r="AE459" s="6"/>
      <c r="AF459" t="str">
        <f t="shared" si="0"/>
        <v/>
      </c>
    </row>
    <row r="460" spans="1:37">
      <c r="A460" s="6">
        <v>430</v>
      </c>
      <c r="B460" s="6" t="s">
        <v>3925</v>
      </c>
      <c r="C460" s="9" t="s">
        <v>3926</v>
      </c>
      <c r="D460" t="s">
        <v>843</v>
      </c>
      <c r="E460" s="9" t="s">
        <v>3927</v>
      </c>
      <c r="F460" s="6" t="s">
        <v>38</v>
      </c>
      <c r="G460" s="9">
        <v>2018</v>
      </c>
      <c r="I460" s="47" t="s">
        <v>3928</v>
      </c>
      <c r="J460" s="43" t="str">
        <f>HYPERLINK("https://www.facebook.com/PivovarNomad","https://www.facebook.com/PivovarNomad")</f>
        <v>https://www.facebook.com/PivovarNomad</v>
      </c>
      <c r="K460" s="44" t="s">
        <v>3930</v>
      </c>
      <c r="M460" s="44"/>
      <c r="O460" s="44"/>
      <c r="P460" s="44"/>
      <c r="Q460" s="47" t="s">
        <v>3931</v>
      </c>
      <c r="R460" s="9" t="s">
        <v>3932</v>
      </c>
      <c r="S460" s="9">
        <v>50.778152800000001</v>
      </c>
      <c r="T460" s="9">
        <v>14.2118792</v>
      </c>
      <c r="AD460" s="6"/>
      <c r="AE460" s="12" t="s">
        <v>47</v>
      </c>
      <c r="AF460" t="str">
        <f t="shared" si="0"/>
        <v>ANO</v>
      </c>
    </row>
    <row r="461" spans="1:37">
      <c r="A461" s="6">
        <v>431</v>
      </c>
      <c r="B461" s="12" t="s">
        <v>3933</v>
      </c>
      <c r="C461" s="9" t="s">
        <v>3934</v>
      </c>
      <c r="D461" s="32" t="s">
        <v>3935</v>
      </c>
      <c r="E461" s="9" t="s">
        <v>3936</v>
      </c>
      <c r="F461" s="6" t="s">
        <v>73</v>
      </c>
      <c r="G461" s="9">
        <v>2018</v>
      </c>
      <c r="I461" s="15" t="s">
        <v>3937</v>
      </c>
      <c r="J461" s="48" t="s">
        <v>3938</v>
      </c>
      <c r="K461" s="60" t="s">
        <v>3939</v>
      </c>
      <c r="M461" s="44"/>
      <c r="O461" s="58" t="s">
        <v>3940</v>
      </c>
      <c r="P461" s="44"/>
      <c r="Q461" s="47" t="s">
        <v>3941</v>
      </c>
      <c r="R461" s="12" t="s">
        <v>3942</v>
      </c>
      <c r="S461" s="12">
        <v>49.794158600000003</v>
      </c>
      <c r="T461" s="9">
        <v>18.253038100000001</v>
      </c>
      <c r="AC461" s="9" t="s">
        <v>47</v>
      </c>
      <c r="AD461" s="6"/>
      <c r="AE461" s="12" t="s">
        <v>47</v>
      </c>
      <c r="AF461" t="str">
        <f t="shared" si="0"/>
        <v>ANO</v>
      </c>
    </row>
    <row r="462" spans="1:37">
      <c r="A462" s="9">
        <v>461</v>
      </c>
      <c r="B462" s="61" t="s">
        <v>3943</v>
      </c>
      <c r="C462" s="9" t="s">
        <v>3944</v>
      </c>
      <c r="D462" s="9" t="s">
        <v>3945</v>
      </c>
      <c r="E462" s="9" t="s">
        <v>3946</v>
      </c>
      <c r="F462" s="6" t="s">
        <v>73</v>
      </c>
      <c r="G462" s="11">
        <v>2018</v>
      </c>
      <c r="I462" s="47" t="s">
        <v>3947</v>
      </c>
      <c r="J462" s="62" t="s">
        <v>3948</v>
      </c>
      <c r="K462" s="40" t="s">
        <v>3949</v>
      </c>
      <c r="O462" s="9" t="s">
        <v>3950</v>
      </c>
      <c r="R462" s="9" t="s">
        <v>3951</v>
      </c>
      <c r="S462" s="9">
        <v>50.758636699999997</v>
      </c>
      <c r="T462" s="9">
        <v>15.0439031</v>
      </c>
      <c r="AF462" t="str">
        <f t="shared" si="0"/>
        <v/>
      </c>
    </row>
    <row r="463" spans="1:37">
      <c r="A463" s="9">
        <v>462</v>
      </c>
      <c r="B463" s="9" t="s">
        <v>3952</v>
      </c>
      <c r="C463" s="9" t="s">
        <v>3953</v>
      </c>
      <c r="D463" s="9" t="s">
        <v>3954</v>
      </c>
      <c r="E463" s="9" t="s">
        <v>3955</v>
      </c>
      <c r="F463" s="6" t="s">
        <v>57</v>
      </c>
      <c r="G463" s="11">
        <v>2018</v>
      </c>
      <c r="I463" s="47" t="s">
        <v>3956</v>
      </c>
      <c r="K463" s="40" t="s">
        <v>3957</v>
      </c>
      <c r="O463" s="9" t="s">
        <v>3958</v>
      </c>
      <c r="Q463" s="47" t="s">
        <v>3959</v>
      </c>
      <c r="R463" s="9" t="s">
        <v>3960</v>
      </c>
      <c r="S463" s="9">
        <v>50.376075</v>
      </c>
      <c r="T463" s="9">
        <v>15.220465300000001</v>
      </c>
      <c r="AC463" s="9" t="s">
        <v>47</v>
      </c>
      <c r="AE463" s="9" t="s">
        <v>47</v>
      </c>
      <c r="AF463" t="str">
        <f t="shared" si="0"/>
        <v>ANO</v>
      </c>
    </row>
    <row r="464" spans="1:37">
      <c r="A464" s="9">
        <v>463</v>
      </c>
      <c r="B464" s="9" t="s">
        <v>3961</v>
      </c>
      <c r="C464" s="9" t="s">
        <v>3962</v>
      </c>
      <c r="D464" s="9" t="s">
        <v>3963</v>
      </c>
      <c r="E464" s="9" t="s">
        <v>3964</v>
      </c>
      <c r="F464" s="6" t="s">
        <v>73</v>
      </c>
      <c r="G464" s="11">
        <v>2018</v>
      </c>
      <c r="I464" s="47" t="s">
        <v>3965</v>
      </c>
      <c r="J464" s="47" t="s">
        <v>3966</v>
      </c>
      <c r="K464" s="40" t="s">
        <v>3967</v>
      </c>
      <c r="O464" s="9" t="s">
        <v>3968</v>
      </c>
      <c r="R464" s="9" t="s">
        <v>3969</v>
      </c>
      <c r="S464" s="9">
        <v>50.033285800000002</v>
      </c>
      <c r="T464" s="9">
        <v>14.312531099999999</v>
      </c>
      <c r="AF464" t="str">
        <f t="shared" si="0"/>
        <v/>
      </c>
    </row>
    <row r="465" spans="1:32">
      <c r="A465" s="9">
        <v>464</v>
      </c>
      <c r="B465" s="9" t="s">
        <v>3970</v>
      </c>
      <c r="C465" s="9" t="s">
        <v>3971</v>
      </c>
      <c r="D465" s="9" t="s">
        <v>3972</v>
      </c>
      <c r="E465" s="9" t="s">
        <v>3973</v>
      </c>
      <c r="F465" s="9" t="s">
        <v>73</v>
      </c>
      <c r="G465" s="9">
        <v>2018</v>
      </c>
      <c r="I465" s="47" t="s">
        <v>3974</v>
      </c>
      <c r="J465" s="47" t="s">
        <v>3975</v>
      </c>
      <c r="K465" s="40" t="s">
        <v>3976</v>
      </c>
      <c r="O465" s="9" t="s">
        <v>3970</v>
      </c>
      <c r="R465" s="9" t="s">
        <v>3977</v>
      </c>
      <c r="S465" s="9">
        <v>50.127121899999999</v>
      </c>
      <c r="T465" s="9">
        <v>14.4703728</v>
      </c>
      <c r="AF465" t="str">
        <f t="shared" si="0"/>
        <v/>
      </c>
    </row>
    <row r="466" spans="1:32">
      <c r="A466" s="12">
        <v>465</v>
      </c>
      <c r="B466" s="12" t="s">
        <v>3547</v>
      </c>
      <c r="C466" s="6" t="s">
        <v>3548</v>
      </c>
      <c r="D466" s="6" t="s">
        <v>819</v>
      </c>
      <c r="E466" s="12" t="s">
        <v>2460</v>
      </c>
      <c r="F466" s="6" t="s">
        <v>57</v>
      </c>
      <c r="G466" s="18">
        <v>2018</v>
      </c>
      <c r="H466" s="6"/>
      <c r="I466" s="13" t="str">
        <f>HYPERLINK("http://www.krikloun.cz","http://www.krikloun.cz")</f>
        <v>http://www.krikloun.cz</v>
      </c>
      <c r="J466" s="31" t="s">
        <v>3978</v>
      </c>
      <c r="K466" s="6" t="s">
        <v>3550</v>
      </c>
      <c r="L466" s="6"/>
      <c r="M466" s="6"/>
      <c r="N466" s="12" t="s">
        <v>3979</v>
      </c>
      <c r="O466" s="6" t="s">
        <v>3547</v>
      </c>
      <c r="P466" s="6"/>
      <c r="Q466" s="15" t="s">
        <v>3551</v>
      </c>
      <c r="R466" s="23" t="s">
        <v>3980</v>
      </c>
      <c r="S466" s="19">
        <v>48.843273099999998</v>
      </c>
      <c r="T466" s="19">
        <v>17.125133600000002</v>
      </c>
      <c r="U466" s="6"/>
      <c r="V466" s="6"/>
      <c r="W466" s="6"/>
      <c r="X466" s="6"/>
      <c r="Y466" s="6"/>
      <c r="Z466" s="6"/>
      <c r="AA466" s="6"/>
      <c r="AB466" s="6"/>
      <c r="AD466" s="6"/>
      <c r="AE466" s="17"/>
      <c r="AF466" t="str">
        <f t="shared" si="0"/>
        <v/>
      </c>
    </row>
    <row r="467" spans="1:32">
      <c r="A467" s="9">
        <v>466</v>
      </c>
      <c r="B467" s="9" t="s">
        <v>3981</v>
      </c>
      <c r="C467" s="9" t="s">
        <v>3982</v>
      </c>
      <c r="D467" s="9" t="s">
        <v>268</v>
      </c>
      <c r="E467" s="9" t="s">
        <v>3983</v>
      </c>
      <c r="F467" s="9" t="s">
        <v>73</v>
      </c>
      <c r="G467" s="9">
        <v>2018</v>
      </c>
      <c r="I467" s="47" t="s">
        <v>3984</v>
      </c>
      <c r="J467" s="47" t="s">
        <v>3985</v>
      </c>
      <c r="K467" s="40" t="s">
        <v>3986</v>
      </c>
      <c r="N467" s="9" t="s">
        <v>3875</v>
      </c>
      <c r="O467" s="9" t="s">
        <v>3987</v>
      </c>
      <c r="R467" s="9" t="s">
        <v>3988</v>
      </c>
      <c r="S467" s="9">
        <v>50.0787111</v>
      </c>
      <c r="T467" s="9">
        <v>14.3567131</v>
      </c>
      <c r="AF467" t="str">
        <f t="shared" si="0"/>
        <v/>
      </c>
    </row>
    <row r="468" spans="1:32">
      <c r="A468" s="12">
        <v>467</v>
      </c>
      <c r="B468" s="9" t="s">
        <v>3989</v>
      </c>
      <c r="C468" s="9" t="s">
        <v>3990</v>
      </c>
      <c r="D468" s="9" t="s">
        <v>1140</v>
      </c>
      <c r="E468" s="9" t="s">
        <v>3991</v>
      </c>
      <c r="F468" s="9" t="s">
        <v>73</v>
      </c>
      <c r="G468" s="9">
        <v>2018</v>
      </c>
      <c r="I468" s="47" t="s">
        <v>3992</v>
      </c>
      <c r="J468" s="47" t="s">
        <v>3993</v>
      </c>
      <c r="K468" s="40" t="s">
        <v>3994</v>
      </c>
      <c r="O468" s="9" t="s">
        <v>3995</v>
      </c>
      <c r="R468" s="9" t="s">
        <v>3996</v>
      </c>
      <c r="S468" s="9">
        <v>49.753208299999997</v>
      </c>
      <c r="T468" s="9">
        <v>13.379785</v>
      </c>
      <c r="AD468" s="6"/>
      <c r="AE468" s="6"/>
      <c r="AF468" t="str">
        <f t="shared" si="0"/>
        <v/>
      </c>
    </row>
    <row r="469" spans="1:32">
      <c r="A469" s="9">
        <v>468</v>
      </c>
      <c r="B469" s="9" t="s">
        <v>3997</v>
      </c>
      <c r="C469" s="9" t="s">
        <v>3998</v>
      </c>
      <c r="D469" s="9" t="s">
        <v>3075</v>
      </c>
      <c r="E469" s="9" t="s">
        <v>3999</v>
      </c>
      <c r="F469" s="9" t="s">
        <v>73</v>
      </c>
      <c r="G469" s="9">
        <v>2018</v>
      </c>
      <c r="I469" s="47" t="s">
        <v>4000</v>
      </c>
      <c r="J469" s="47" t="s">
        <v>4001</v>
      </c>
      <c r="K469" s="40" t="s">
        <v>4002</v>
      </c>
      <c r="O469" s="9" t="s">
        <v>4003</v>
      </c>
      <c r="R469" s="9" t="s">
        <v>4004</v>
      </c>
      <c r="S469" s="9">
        <v>50.019994400000002</v>
      </c>
      <c r="T469" s="9">
        <v>14.499320300000001</v>
      </c>
      <c r="AC469" s="9" t="s">
        <v>47</v>
      </c>
      <c r="AD469" s="6"/>
      <c r="AE469" s="6"/>
      <c r="AF469" t="str">
        <f t="shared" si="0"/>
        <v>ANO</v>
      </c>
    </row>
    <row r="470" spans="1:32">
      <c r="A470" s="12">
        <v>469</v>
      </c>
      <c r="B470" s="9" t="s">
        <v>4005</v>
      </c>
      <c r="C470" s="9" t="s">
        <v>4006</v>
      </c>
      <c r="D470" s="9" t="s">
        <v>4007</v>
      </c>
      <c r="E470" s="9" t="s">
        <v>4008</v>
      </c>
      <c r="F470" s="9" t="s">
        <v>73</v>
      </c>
      <c r="G470" s="9">
        <v>2018</v>
      </c>
      <c r="K470" s="40" t="s">
        <v>4009</v>
      </c>
      <c r="O470" s="9" t="s">
        <v>4010</v>
      </c>
      <c r="R470" s="9" t="s">
        <v>4011</v>
      </c>
      <c r="S470" s="9">
        <v>48.741906100000001</v>
      </c>
      <c r="T470" s="9">
        <v>16.7585178</v>
      </c>
      <c r="AD470" s="6"/>
      <c r="AE470" s="6"/>
      <c r="AF470" t="str">
        <f t="shared" si="0"/>
        <v/>
      </c>
    </row>
    <row r="471" spans="1:32">
      <c r="A471" s="9">
        <v>470</v>
      </c>
      <c r="B471" s="6" t="s">
        <v>4012</v>
      </c>
      <c r="C471" s="9" t="s">
        <v>4013</v>
      </c>
      <c r="D471" s="6" t="s">
        <v>4014</v>
      </c>
      <c r="E471" s="9" t="s">
        <v>4015</v>
      </c>
      <c r="F471" s="9" t="s">
        <v>73</v>
      </c>
      <c r="G471" s="9">
        <v>2018</v>
      </c>
      <c r="I471" s="31" t="s">
        <v>4016</v>
      </c>
      <c r="J471" s="13" t="str">
        <f>HYPERLINK("https://www.facebook.com/kronl","https://www.facebook.com/kronl")</f>
        <v>https://www.facebook.com/kronl</v>
      </c>
      <c r="K471" s="40" t="s">
        <v>4017</v>
      </c>
      <c r="O471" s="9" t="s">
        <v>4012</v>
      </c>
      <c r="R471" s="12" t="s">
        <v>4018</v>
      </c>
      <c r="S471" s="12">
        <v>49.958019999999998</v>
      </c>
      <c r="T471" s="9">
        <v>12.7021</v>
      </c>
      <c r="AF471" t="str">
        <f t="shared" si="0"/>
        <v/>
      </c>
    </row>
    <row r="472" spans="1:32">
      <c r="A472" s="12">
        <v>471</v>
      </c>
      <c r="B472" s="61" t="s">
        <v>4019</v>
      </c>
      <c r="C472" s="9" t="s">
        <v>4020</v>
      </c>
      <c r="D472" s="9" t="s">
        <v>3370</v>
      </c>
      <c r="E472" s="9" t="s">
        <v>4021</v>
      </c>
      <c r="F472" s="9" t="s">
        <v>73</v>
      </c>
      <c r="G472" s="9">
        <v>2018</v>
      </c>
      <c r="I472" s="47" t="s">
        <v>4022</v>
      </c>
      <c r="J472" s="63" t="str">
        <f>HYPERLINK("https://www.facebook.com/Měšťanský-pivovar-Kujebák-427720934350949","https://www.facebook.com/Měšťanský-pivovar-Kujebák-427720934350949")</f>
        <v>https://www.facebook.com/Měšťanský-pivovar-Kujebák-427720934350949</v>
      </c>
      <c r="K472" s="40" t="s">
        <v>4023</v>
      </c>
      <c r="O472" s="9" t="s">
        <v>4024</v>
      </c>
      <c r="R472" s="9" t="s">
        <v>4025</v>
      </c>
      <c r="S472" s="9">
        <v>49.952380599999998</v>
      </c>
      <c r="T472" s="9">
        <v>16.156306900000001</v>
      </c>
      <c r="AC472" s="9" t="s">
        <v>47</v>
      </c>
      <c r="AF472" t="str">
        <f t="shared" si="0"/>
        <v>ANO</v>
      </c>
    </row>
    <row r="473" spans="1:32">
      <c r="A473" s="12">
        <v>472</v>
      </c>
      <c r="B473" s="9" t="s">
        <v>4026</v>
      </c>
      <c r="C473" s="9" t="s">
        <v>4027</v>
      </c>
      <c r="D473" s="9" t="s">
        <v>739</v>
      </c>
      <c r="E473" s="9" t="s">
        <v>4028</v>
      </c>
      <c r="F473" s="9" t="s">
        <v>57</v>
      </c>
      <c r="G473" s="9">
        <v>2018</v>
      </c>
      <c r="I473" s="47" t="s">
        <v>4029</v>
      </c>
      <c r="J473" s="47" t="s">
        <v>4030</v>
      </c>
      <c r="K473" s="40" t="s">
        <v>4031</v>
      </c>
      <c r="N473" s="9" t="s">
        <v>4032</v>
      </c>
      <c r="R473" s="9" t="s">
        <v>4033</v>
      </c>
      <c r="S473" s="9">
        <v>49.679981400000003</v>
      </c>
      <c r="T473" s="9">
        <v>18.464394200000001</v>
      </c>
      <c r="AF473" t="str">
        <f t="shared" si="0"/>
        <v/>
      </c>
    </row>
    <row r="474" spans="1:32">
      <c r="A474" s="9">
        <v>473</v>
      </c>
      <c r="B474" s="9" t="s">
        <v>4034</v>
      </c>
      <c r="C474" s="9" t="s">
        <v>4035</v>
      </c>
      <c r="D474" s="9" t="s">
        <v>4036</v>
      </c>
      <c r="E474" s="9" t="s">
        <v>4037</v>
      </c>
      <c r="F474" s="9" t="s">
        <v>57</v>
      </c>
      <c r="G474" s="9">
        <v>2018</v>
      </c>
      <c r="J474" s="47" t="s">
        <v>4038</v>
      </c>
      <c r="K474" s="40" t="s">
        <v>4039</v>
      </c>
      <c r="R474" s="9" t="s">
        <v>4040</v>
      </c>
      <c r="S474" s="9">
        <v>49.714724199999999</v>
      </c>
      <c r="T474" s="9">
        <v>13.4152842</v>
      </c>
      <c r="AD474" s="6"/>
      <c r="AE474" s="6"/>
      <c r="AF474" t="str">
        <f t="shared" si="0"/>
        <v/>
      </c>
    </row>
    <row r="475" spans="1:32">
      <c r="A475" s="9">
        <v>474</v>
      </c>
      <c r="B475" s="9" t="s">
        <v>4041</v>
      </c>
      <c r="C475" s="9" t="s">
        <v>4042</v>
      </c>
      <c r="D475" s="9" t="s">
        <v>4043</v>
      </c>
      <c r="E475" s="9" t="s">
        <v>4044</v>
      </c>
      <c r="F475" s="9" t="s">
        <v>57</v>
      </c>
      <c r="G475" s="9">
        <v>2018</v>
      </c>
      <c r="I475" s="47" t="s">
        <v>4045</v>
      </c>
      <c r="J475" s="47" t="s">
        <v>4046</v>
      </c>
      <c r="K475" s="40" t="s">
        <v>4047</v>
      </c>
      <c r="O475" s="9" t="s">
        <v>4048</v>
      </c>
      <c r="R475" s="9" t="s">
        <v>4050</v>
      </c>
      <c r="S475" s="9">
        <v>49.939304999999997</v>
      </c>
      <c r="T475" s="9">
        <v>14.1328456</v>
      </c>
    </row>
    <row r="476" spans="1:32">
      <c r="A476" s="9">
        <v>475</v>
      </c>
      <c r="B476" s="9" t="s">
        <v>4051</v>
      </c>
      <c r="C476" s="9" t="s">
        <v>4052</v>
      </c>
      <c r="D476" s="9" t="s">
        <v>4051</v>
      </c>
      <c r="E476" s="9" t="s">
        <v>4053</v>
      </c>
      <c r="F476" s="6" t="s">
        <v>38</v>
      </c>
      <c r="G476" s="9">
        <v>2018</v>
      </c>
      <c r="I476" s="47" t="s">
        <v>4054</v>
      </c>
      <c r="J476" s="47" t="s">
        <v>4055</v>
      </c>
      <c r="K476" s="40" t="s">
        <v>4056</v>
      </c>
      <c r="O476" s="9" t="s">
        <v>4057</v>
      </c>
      <c r="R476" s="9" t="s">
        <v>4058</v>
      </c>
      <c r="S476" s="9">
        <v>49.018672199999997</v>
      </c>
      <c r="T476" s="9">
        <v>15.1058111</v>
      </c>
    </row>
    <row r="477" spans="1:32">
      <c r="A477" s="9">
        <v>476</v>
      </c>
      <c r="B477" s="9" t="s">
        <v>4059</v>
      </c>
      <c r="C477" s="9" t="s">
        <v>4060</v>
      </c>
      <c r="D477" s="9" t="s">
        <v>4059</v>
      </c>
      <c r="E477" s="9" t="s">
        <v>4061</v>
      </c>
      <c r="F477" s="6" t="s">
        <v>38</v>
      </c>
      <c r="G477" s="9">
        <v>2018</v>
      </c>
      <c r="I477" s="47" t="s">
        <v>4062</v>
      </c>
      <c r="J477" s="47" t="s">
        <v>4063</v>
      </c>
      <c r="K477" s="40" t="s">
        <v>4064</v>
      </c>
      <c r="R477" s="9" t="s">
        <v>4065</v>
      </c>
      <c r="S477" s="9">
        <v>48.782646900000003</v>
      </c>
      <c r="T477" s="9">
        <v>14.7892583</v>
      </c>
      <c r="AD477" s="6"/>
      <c r="AE477" s="6"/>
      <c r="AF477" t="str">
        <f t="shared" ref="AF477:AF478" si="5">IF(COUNTIF(U477:AE477,"ANO"),"ANO","")</f>
        <v/>
      </c>
    </row>
    <row r="478" spans="1:32">
      <c r="A478" s="9">
        <v>477</v>
      </c>
      <c r="B478" s="9" t="s">
        <v>4067</v>
      </c>
      <c r="C478" s="9" t="s">
        <v>4068</v>
      </c>
      <c r="D478" s="9" t="s">
        <v>4069</v>
      </c>
      <c r="E478" s="9" t="s">
        <v>4070</v>
      </c>
      <c r="F478" s="9" t="s">
        <v>73</v>
      </c>
      <c r="G478" s="64">
        <v>2018</v>
      </c>
      <c r="I478" s="13" t="str">
        <f>HYPERLINK("http://www.vojanuvdvur.cz","http://www.vojanuvdvur.cz")</f>
        <v>http://www.vojanuvdvur.cz</v>
      </c>
      <c r="J478" s="47" t="s">
        <v>4071</v>
      </c>
      <c r="K478" s="40" t="s">
        <v>4072</v>
      </c>
      <c r="M478" s="12" t="s">
        <v>4073</v>
      </c>
      <c r="R478" s="9" t="s">
        <v>4074</v>
      </c>
      <c r="S478" s="9">
        <v>50.089736100000003</v>
      </c>
      <c r="T478" s="9">
        <v>14.4095058</v>
      </c>
      <c r="AD478" s="6"/>
      <c r="AE478" s="6"/>
      <c r="AF478" t="str">
        <f t="shared" si="5"/>
        <v/>
      </c>
    </row>
    <row r="479" spans="1:32">
      <c r="A479" s="9">
        <v>478</v>
      </c>
      <c r="B479" t="s">
        <v>4075</v>
      </c>
      <c r="C479" s="9" t="s">
        <v>4076</v>
      </c>
      <c r="D479" t="s">
        <v>1673</v>
      </c>
      <c r="E479" s="9" t="s">
        <v>4077</v>
      </c>
      <c r="F479" s="9" t="s">
        <v>57</v>
      </c>
      <c r="G479" s="64">
        <v>2018</v>
      </c>
      <c r="I479" s="47" t="s">
        <v>4078</v>
      </c>
      <c r="K479" s="40" t="s">
        <v>4079</v>
      </c>
      <c r="R479" s="9" t="s">
        <v>4080</v>
      </c>
      <c r="S479" s="9">
        <v>50.4347572</v>
      </c>
      <c r="T479" s="9">
        <v>15.7986603</v>
      </c>
    </row>
    <row r="480" spans="1:32">
      <c r="A480" s="9">
        <v>479</v>
      </c>
      <c r="B480" s="12" t="s">
        <v>4081</v>
      </c>
      <c r="C480" s="9" t="s">
        <v>4082</v>
      </c>
      <c r="D480" s="12" t="s">
        <v>2602</v>
      </c>
      <c r="E480" s="9" t="s">
        <v>4083</v>
      </c>
      <c r="F480" s="9" t="s">
        <v>73</v>
      </c>
      <c r="G480" s="64">
        <v>2018</v>
      </c>
      <c r="J480" s="47" t="s">
        <v>4084</v>
      </c>
      <c r="K480" s="40" t="s">
        <v>4085</v>
      </c>
      <c r="L480" s="9" t="s">
        <v>4086</v>
      </c>
      <c r="M480" s="12" t="s">
        <v>4087</v>
      </c>
      <c r="R480" s="9" t="s">
        <v>4088</v>
      </c>
      <c r="S480" s="9">
        <v>50.076648599999999</v>
      </c>
      <c r="T480" s="12">
        <v>14.438621400000001</v>
      </c>
      <c r="U480" s="6"/>
    </row>
    <row r="481" spans="7:32">
      <c r="G481" s="11"/>
      <c r="AD481" s="6"/>
      <c r="AE481" s="6"/>
      <c r="AF481" t="str">
        <f t="shared" ref="AF481:AF1008" si="6">IF(COUNTIF(U481:AE481,"ANO"),"ANO","")</f>
        <v/>
      </c>
    </row>
    <row r="482" spans="7:32">
      <c r="G482" s="11"/>
      <c r="AD482" s="6"/>
      <c r="AE482" s="6"/>
      <c r="AF482" t="str">
        <f t="shared" si="6"/>
        <v/>
      </c>
    </row>
    <row r="483" spans="7:32">
      <c r="G483" s="11"/>
      <c r="AD483" s="6"/>
      <c r="AE483" s="6"/>
      <c r="AF483" t="str">
        <f t="shared" si="6"/>
        <v/>
      </c>
    </row>
    <row r="484" spans="7:32">
      <c r="G484" s="11"/>
      <c r="AD484" s="6"/>
      <c r="AE484" s="6"/>
      <c r="AF484" t="str">
        <f t="shared" si="6"/>
        <v/>
      </c>
    </row>
    <row r="485" spans="7:32">
      <c r="G485" s="11"/>
      <c r="AD485" s="6"/>
      <c r="AE485" s="6"/>
      <c r="AF485" t="str">
        <f t="shared" si="6"/>
        <v/>
      </c>
    </row>
    <row r="486" spans="7:32">
      <c r="G486" s="11"/>
      <c r="AD486" s="6"/>
      <c r="AE486" s="6"/>
      <c r="AF486" t="str">
        <f t="shared" si="6"/>
        <v/>
      </c>
    </row>
    <row r="487" spans="7:32">
      <c r="G487" s="11"/>
      <c r="AD487" s="6"/>
      <c r="AE487" s="6"/>
      <c r="AF487" t="str">
        <f t="shared" si="6"/>
        <v/>
      </c>
    </row>
    <row r="488" spans="7:32">
      <c r="G488" s="11"/>
      <c r="AD488" s="6"/>
      <c r="AE488" s="6"/>
      <c r="AF488" t="str">
        <f t="shared" si="6"/>
        <v/>
      </c>
    </row>
    <row r="489" spans="7:32">
      <c r="G489" s="11"/>
      <c r="AD489" s="6"/>
      <c r="AE489" s="6"/>
      <c r="AF489" t="str">
        <f t="shared" si="6"/>
        <v/>
      </c>
    </row>
    <row r="490" spans="7:32">
      <c r="G490" s="11"/>
      <c r="AD490" s="6"/>
      <c r="AE490" s="6"/>
      <c r="AF490" t="str">
        <f t="shared" si="6"/>
        <v/>
      </c>
    </row>
    <row r="491" spans="7:32">
      <c r="G491" s="11"/>
      <c r="AD491" s="6"/>
      <c r="AE491" s="6"/>
      <c r="AF491" t="str">
        <f t="shared" si="6"/>
        <v/>
      </c>
    </row>
    <row r="492" spans="7:32">
      <c r="G492" s="11"/>
      <c r="AD492" s="6"/>
      <c r="AE492" s="6"/>
      <c r="AF492" t="str">
        <f t="shared" si="6"/>
        <v/>
      </c>
    </row>
    <row r="493" spans="7:32">
      <c r="G493" s="11"/>
      <c r="AD493" s="6"/>
      <c r="AE493" s="6"/>
      <c r="AF493" t="str">
        <f t="shared" si="6"/>
        <v/>
      </c>
    </row>
    <row r="494" spans="7:32">
      <c r="G494" s="11"/>
      <c r="AD494" s="6"/>
      <c r="AE494" s="6"/>
      <c r="AF494" t="str">
        <f t="shared" si="6"/>
        <v/>
      </c>
    </row>
    <row r="495" spans="7:32">
      <c r="G495" s="11"/>
      <c r="AD495" s="6"/>
      <c r="AE495" s="6"/>
      <c r="AF495" t="str">
        <f t="shared" si="6"/>
        <v/>
      </c>
    </row>
    <row r="496" spans="7:32">
      <c r="G496" s="11"/>
      <c r="AD496" s="6"/>
      <c r="AE496" s="6"/>
      <c r="AF496" t="str">
        <f t="shared" si="6"/>
        <v/>
      </c>
    </row>
    <row r="497" spans="7:32">
      <c r="G497" s="11"/>
      <c r="AD497" s="6"/>
      <c r="AE497" s="6"/>
      <c r="AF497" t="str">
        <f t="shared" si="6"/>
        <v/>
      </c>
    </row>
    <row r="498" spans="7:32">
      <c r="G498" s="11"/>
      <c r="AD498" s="6"/>
      <c r="AE498" s="6"/>
      <c r="AF498" t="str">
        <f t="shared" si="6"/>
        <v/>
      </c>
    </row>
    <row r="499" spans="7:32">
      <c r="G499" s="11"/>
      <c r="AD499" s="6"/>
      <c r="AE499" s="6"/>
      <c r="AF499" t="str">
        <f t="shared" si="6"/>
        <v/>
      </c>
    </row>
    <row r="500" spans="7:32">
      <c r="G500" s="11"/>
      <c r="AD500" s="6"/>
      <c r="AE500" s="6"/>
      <c r="AF500" t="str">
        <f t="shared" si="6"/>
        <v/>
      </c>
    </row>
    <row r="501" spans="7:32">
      <c r="G501" s="11"/>
      <c r="AD501" s="6"/>
      <c r="AE501" s="6"/>
      <c r="AF501" t="str">
        <f t="shared" si="6"/>
        <v/>
      </c>
    </row>
    <row r="502" spans="7:32">
      <c r="G502" s="11"/>
      <c r="AD502" s="6"/>
      <c r="AE502" s="6"/>
      <c r="AF502" t="str">
        <f t="shared" si="6"/>
        <v/>
      </c>
    </row>
    <row r="503" spans="7:32">
      <c r="G503" s="11"/>
      <c r="AD503" s="6"/>
      <c r="AE503" s="6"/>
      <c r="AF503" t="str">
        <f t="shared" si="6"/>
        <v/>
      </c>
    </row>
    <row r="504" spans="7:32">
      <c r="G504" s="11"/>
      <c r="AD504" s="6"/>
      <c r="AE504" s="6"/>
      <c r="AF504" t="str">
        <f t="shared" si="6"/>
        <v/>
      </c>
    </row>
    <row r="505" spans="7:32">
      <c r="G505" s="11"/>
      <c r="AD505" s="6"/>
      <c r="AE505" s="6"/>
      <c r="AF505" t="str">
        <f t="shared" si="6"/>
        <v/>
      </c>
    </row>
    <row r="506" spans="7:32">
      <c r="G506" s="11"/>
      <c r="AD506" s="6"/>
      <c r="AE506" s="6"/>
      <c r="AF506" t="str">
        <f t="shared" si="6"/>
        <v/>
      </c>
    </row>
    <row r="507" spans="7:32">
      <c r="G507" s="11"/>
      <c r="AD507" s="6"/>
      <c r="AE507" s="6"/>
      <c r="AF507" t="str">
        <f t="shared" si="6"/>
        <v/>
      </c>
    </row>
    <row r="508" spans="7:32">
      <c r="G508" s="11"/>
      <c r="AD508" s="6"/>
      <c r="AE508" s="6"/>
      <c r="AF508" t="str">
        <f t="shared" si="6"/>
        <v/>
      </c>
    </row>
    <row r="509" spans="7:32">
      <c r="G509" s="11"/>
      <c r="AD509" s="6"/>
      <c r="AE509" s="6"/>
      <c r="AF509" t="str">
        <f t="shared" si="6"/>
        <v/>
      </c>
    </row>
    <row r="510" spans="7:32">
      <c r="G510" s="11"/>
      <c r="AD510" s="6"/>
      <c r="AE510" s="6"/>
      <c r="AF510" t="str">
        <f t="shared" si="6"/>
        <v/>
      </c>
    </row>
    <row r="511" spans="7:32">
      <c r="G511" s="11"/>
      <c r="AD511" s="6"/>
      <c r="AE511" s="6"/>
      <c r="AF511" t="str">
        <f t="shared" si="6"/>
        <v/>
      </c>
    </row>
    <row r="512" spans="7:32">
      <c r="G512" s="11"/>
      <c r="AD512" s="6"/>
      <c r="AE512" s="6"/>
      <c r="AF512" t="str">
        <f t="shared" si="6"/>
        <v/>
      </c>
    </row>
    <row r="513" spans="7:32">
      <c r="G513" s="11"/>
      <c r="AD513" s="6"/>
      <c r="AE513" s="6"/>
      <c r="AF513" t="str">
        <f t="shared" si="6"/>
        <v/>
      </c>
    </row>
    <row r="514" spans="7:32">
      <c r="G514" s="11"/>
      <c r="AD514" s="6"/>
      <c r="AE514" s="6"/>
      <c r="AF514" t="str">
        <f t="shared" si="6"/>
        <v/>
      </c>
    </row>
    <row r="515" spans="7:32">
      <c r="G515" s="11"/>
      <c r="AD515" s="6"/>
      <c r="AE515" s="6"/>
      <c r="AF515" t="str">
        <f t="shared" si="6"/>
        <v/>
      </c>
    </row>
    <row r="516" spans="7:32">
      <c r="G516" s="11"/>
      <c r="AD516" s="6"/>
      <c r="AE516" s="6"/>
      <c r="AF516" t="str">
        <f t="shared" si="6"/>
        <v/>
      </c>
    </row>
    <row r="517" spans="7:32">
      <c r="G517" s="11"/>
      <c r="AD517" s="6"/>
      <c r="AE517" s="6"/>
      <c r="AF517" t="str">
        <f t="shared" si="6"/>
        <v/>
      </c>
    </row>
    <row r="518" spans="7:32">
      <c r="G518" s="11"/>
      <c r="AD518" s="6"/>
      <c r="AE518" s="6"/>
      <c r="AF518" t="str">
        <f t="shared" si="6"/>
        <v/>
      </c>
    </row>
    <row r="519" spans="7:32">
      <c r="G519" s="11"/>
      <c r="AD519" s="6"/>
      <c r="AE519" s="6"/>
      <c r="AF519" t="str">
        <f t="shared" si="6"/>
        <v/>
      </c>
    </row>
    <row r="520" spans="7:32">
      <c r="G520" s="11"/>
      <c r="AD520" s="6"/>
      <c r="AE520" s="6"/>
      <c r="AF520" t="str">
        <f t="shared" si="6"/>
        <v/>
      </c>
    </row>
    <row r="521" spans="7:32">
      <c r="G521" s="11"/>
      <c r="AD521" s="6"/>
      <c r="AE521" s="6"/>
      <c r="AF521" t="str">
        <f t="shared" si="6"/>
        <v/>
      </c>
    </row>
    <row r="522" spans="7:32">
      <c r="G522" s="11"/>
      <c r="AD522" s="6"/>
      <c r="AE522" s="6"/>
      <c r="AF522" t="str">
        <f t="shared" si="6"/>
        <v/>
      </c>
    </row>
    <row r="523" spans="7:32">
      <c r="G523" s="11"/>
      <c r="AD523" s="6"/>
      <c r="AE523" s="6"/>
      <c r="AF523" t="str">
        <f t="shared" si="6"/>
        <v/>
      </c>
    </row>
    <row r="524" spans="7:32">
      <c r="G524" s="11"/>
      <c r="AD524" s="6"/>
      <c r="AE524" s="6"/>
      <c r="AF524" t="str">
        <f t="shared" si="6"/>
        <v/>
      </c>
    </row>
    <row r="525" spans="7:32">
      <c r="G525" s="11"/>
      <c r="AD525" s="6"/>
      <c r="AE525" s="6"/>
      <c r="AF525" t="str">
        <f t="shared" si="6"/>
        <v/>
      </c>
    </row>
    <row r="526" spans="7:32">
      <c r="G526" s="11"/>
      <c r="AD526" s="6"/>
      <c r="AE526" s="6"/>
      <c r="AF526" t="str">
        <f t="shared" si="6"/>
        <v/>
      </c>
    </row>
    <row r="527" spans="7:32">
      <c r="G527" s="11"/>
      <c r="AD527" s="6"/>
      <c r="AE527" s="6"/>
      <c r="AF527" t="str">
        <f t="shared" si="6"/>
        <v/>
      </c>
    </row>
    <row r="528" spans="7:32">
      <c r="G528" s="11"/>
      <c r="AD528" s="6"/>
      <c r="AE528" s="6"/>
      <c r="AF528" t="str">
        <f t="shared" si="6"/>
        <v/>
      </c>
    </row>
    <row r="529" spans="7:32">
      <c r="G529" s="11"/>
      <c r="AD529" s="6"/>
      <c r="AE529" s="6"/>
      <c r="AF529" t="str">
        <f t="shared" si="6"/>
        <v/>
      </c>
    </row>
    <row r="530" spans="7:32">
      <c r="G530" s="11"/>
      <c r="AD530" s="6"/>
      <c r="AE530" s="6"/>
      <c r="AF530" t="str">
        <f t="shared" si="6"/>
        <v/>
      </c>
    </row>
    <row r="531" spans="7:32">
      <c r="G531" s="11"/>
      <c r="AD531" s="6"/>
      <c r="AE531" s="6"/>
      <c r="AF531" t="str">
        <f t="shared" si="6"/>
        <v/>
      </c>
    </row>
    <row r="532" spans="7:32">
      <c r="G532" s="11"/>
      <c r="AD532" s="6"/>
      <c r="AE532" s="6"/>
      <c r="AF532" t="str">
        <f t="shared" si="6"/>
        <v/>
      </c>
    </row>
    <row r="533" spans="7:32">
      <c r="G533" s="11"/>
      <c r="AD533" s="6"/>
      <c r="AE533" s="6"/>
      <c r="AF533" t="str">
        <f t="shared" si="6"/>
        <v/>
      </c>
    </row>
    <row r="534" spans="7:32">
      <c r="G534" s="11"/>
      <c r="AD534" s="6"/>
      <c r="AE534" s="6"/>
      <c r="AF534" t="str">
        <f t="shared" si="6"/>
        <v/>
      </c>
    </row>
    <row r="535" spans="7:32">
      <c r="G535" s="11"/>
      <c r="AD535" s="6"/>
      <c r="AE535" s="6"/>
      <c r="AF535" t="str">
        <f t="shared" si="6"/>
        <v/>
      </c>
    </row>
    <row r="536" spans="7:32">
      <c r="G536" s="11"/>
      <c r="AD536" s="6"/>
      <c r="AE536" s="6"/>
      <c r="AF536" t="str">
        <f t="shared" si="6"/>
        <v/>
      </c>
    </row>
    <row r="537" spans="7:32">
      <c r="G537" s="11"/>
      <c r="AD537" s="6"/>
      <c r="AE537" s="6"/>
      <c r="AF537" t="str">
        <f t="shared" si="6"/>
        <v/>
      </c>
    </row>
    <row r="538" spans="7:32">
      <c r="G538" s="11"/>
      <c r="AD538" s="6"/>
      <c r="AE538" s="6"/>
      <c r="AF538" t="str">
        <f t="shared" si="6"/>
        <v/>
      </c>
    </row>
    <row r="539" spans="7:32">
      <c r="G539" s="11"/>
      <c r="AD539" s="6"/>
      <c r="AE539" s="6"/>
      <c r="AF539" t="str">
        <f t="shared" si="6"/>
        <v/>
      </c>
    </row>
    <row r="540" spans="7:32">
      <c r="G540" s="11"/>
      <c r="AD540" s="6"/>
      <c r="AE540" s="6"/>
      <c r="AF540" t="str">
        <f t="shared" si="6"/>
        <v/>
      </c>
    </row>
    <row r="541" spans="7:32">
      <c r="G541" s="11"/>
      <c r="AD541" s="6"/>
      <c r="AE541" s="6"/>
      <c r="AF541" t="str">
        <f t="shared" si="6"/>
        <v/>
      </c>
    </row>
    <row r="542" spans="7:32">
      <c r="G542" s="11"/>
      <c r="AD542" s="6"/>
      <c r="AE542" s="6"/>
      <c r="AF542" t="str">
        <f t="shared" si="6"/>
        <v/>
      </c>
    </row>
    <row r="543" spans="7:32">
      <c r="G543" s="11"/>
      <c r="AD543" s="6"/>
      <c r="AE543" s="6"/>
      <c r="AF543" t="str">
        <f t="shared" si="6"/>
        <v/>
      </c>
    </row>
    <row r="544" spans="7:32">
      <c r="G544" s="11"/>
      <c r="AD544" s="6"/>
      <c r="AE544" s="6"/>
      <c r="AF544" t="str">
        <f t="shared" si="6"/>
        <v/>
      </c>
    </row>
    <row r="545" spans="7:32">
      <c r="G545" s="11"/>
      <c r="AD545" s="6"/>
      <c r="AE545" s="6"/>
      <c r="AF545" t="str">
        <f t="shared" si="6"/>
        <v/>
      </c>
    </row>
    <row r="546" spans="7:32">
      <c r="G546" s="11"/>
      <c r="AD546" s="6"/>
      <c r="AE546" s="6"/>
      <c r="AF546" t="str">
        <f t="shared" si="6"/>
        <v/>
      </c>
    </row>
    <row r="547" spans="7:32">
      <c r="G547" s="11"/>
      <c r="AD547" s="6"/>
      <c r="AE547" s="6"/>
      <c r="AF547" t="str">
        <f t="shared" si="6"/>
        <v/>
      </c>
    </row>
    <row r="548" spans="7:32">
      <c r="G548" s="11"/>
      <c r="AD548" s="6"/>
      <c r="AE548" s="6"/>
      <c r="AF548" t="str">
        <f t="shared" si="6"/>
        <v/>
      </c>
    </row>
    <row r="549" spans="7:32">
      <c r="G549" s="11"/>
      <c r="AD549" s="6"/>
      <c r="AE549" s="6"/>
      <c r="AF549" t="str">
        <f t="shared" si="6"/>
        <v/>
      </c>
    </row>
    <row r="550" spans="7:32">
      <c r="G550" s="11"/>
      <c r="AD550" s="6"/>
      <c r="AE550" s="6"/>
      <c r="AF550" t="str">
        <f t="shared" si="6"/>
        <v/>
      </c>
    </row>
    <row r="551" spans="7:32">
      <c r="G551" s="11"/>
      <c r="AD551" s="6"/>
      <c r="AE551" s="6"/>
      <c r="AF551" t="str">
        <f t="shared" si="6"/>
        <v/>
      </c>
    </row>
    <row r="552" spans="7:32">
      <c r="G552" s="11"/>
      <c r="AD552" s="6"/>
      <c r="AE552" s="6"/>
      <c r="AF552" t="str">
        <f t="shared" si="6"/>
        <v/>
      </c>
    </row>
    <row r="553" spans="7:32">
      <c r="G553" s="11"/>
      <c r="AD553" s="6"/>
      <c r="AE553" s="6"/>
      <c r="AF553" t="str">
        <f t="shared" si="6"/>
        <v/>
      </c>
    </row>
    <row r="554" spans="7:32">
      <c r="G554" s="11"/>
      <c r="AD554" s="6"/>
      <c r="AE554" s="6"/>
      <c r="AF554" t="str">
        <f t="shared" si="6"/>
        <v/>
      </c>
    </row>
    <row r="555" spans="7:32">
      <c r="G555" s="11"/>
      <c r="AD555" s="6"/>
      <c r="AE555" s="6"/>
      <c r="AF555" t="str">
        <f t="shared" si="6"/>
        <v/>
      </c>
    </row>
    <row r="556" spans="7:32">
      <c r="G556" s="11"/>
      <c r="AD556" s="6"/>
      <c r="AE556" s="6"/>
      <c r="AF556" t="str">
        <f t="shared" si="6"/>
        <v/>
      </c>
    </row>
    <row r="557" spans="7:32">
      <c r="G557" s="11"/>
      <c r="AD557" s="6"/>
      <c r="AE557" s="6"/>
      <c r="AF557" t="str">
        <f t="shared" si="6"/>
        <v/>
      </c>
    </row>
    <row r="558" spans="7:32">
      <c r="G558" s="11"/>
      <c r="AD558" s="6"/>
      <c r="AE558" s="6"/>
      <c r="AF558" t="str">
        <f t="shared" si="6"/>
        <v/>
      </c>
    </row>
    <row r="559" spans="7:32">
      <c r="G559" s="11"/>
      <c r="AD559" s="6"/>
      <c r="AE559" s="6"/>
      <c r="AF559" t="str">
        <f t="shared" si="6"/>
        <v/>
      </c>
    </row>
    <row r="560" spans="7:32">
      <c r="G560" s="11"/>
      <c r="AD560" s="6"/>
      <c r="AE560" s="6"/>
      <c r="AF560" t="str">
        <f t="shared" si="6"/>
        <v/>
      </c>
    </row>
    <row r="561" spans="7:32">
      <c r="G561" s="11"/>
      <c r="AD561" s="6"/>
      <c r="AE561" s="6"/>
      <c r="AF561" t="str">
        <f t="shared" si="6"/>
        <v/>
      </c>
    </row>
    <row r="562" spans="7:32">
      <c r="G562" s="11"/>
      <c r="AD562" s="6"/>
      <c r="AE562" s="6"/>
      <c r="AF562" t="str">
        <f t="shared" si="6"/>
        <v/>
      </c>
    </row>
    <row r="563" spans="7:32">
      <c r="G563" s="11"/>
      <c r="AD563" s="6"/>
      <c r="AE563" s="6"/>
      <c r="AF563" t="str">
        <f t="shared" si="6"/>
        <v/>
      </c>
    </row>
    <row r="564" spans="7:32">
      <c r="G564" s="11"/>
      <c r="AD564" s="6"/>
      <c r="AE564" s="6"/>
      <c r="AF564" t="str">
        <f t="shared" si="6"/>
        <v/>
      </c>
    </row>
    <row r="565" spans="7:32">
      <c r="G565" s="11"/>
      <c r="AD565" s="6"/>
      <c r="AE565" s="6"/>
      <c r="AF565" t="str">
        <f t="shared" si="6"/>
        <v/>
      </c>
    </row>
    <row r="566" spans="7:32">
      <c r="G566" s="11"/>
      <c r="AD566" s="6"/>
      <c r="AE566" s="6"/>
      <c r="AF566" t="str">
        <f t="shared" si="6"/>
        <v/>
      </c>
    </row>
    <row r="567" spans="7:32">
      <c r="G567" s="11"/>
      <c r="AD567" s="6"/>
      <c r="AE567" s="6"/>
      <c r="AF567" t="str">
        <f t="shared" si="6"/>
        <v/>
      </c>
    </row>
    <row r="568" spans="7:32">
      <c r="G568" s="11"/>
      <c r="AD568" s="6"/>
      <c r="AE568" s="6"/>
      <c r="AF568" t="str">
        <f t="shared" si="6"/>
        <v/>
      </c>
    </row>
    <row r="569" spans="7:32">
      <c r="G569" s="11"/>
      <c r="AD569" s="6"/>
      <c r="AE569" s="6"/>
      <c r="AF569" t="str">
        <f t="shared" si="6"/>
        <v/>
      </c>
    </row>
    <row r="570" spans="7:32">
      <c r="G570" s="11"/>
      <c r="AD570" s="6"/>
      <c r="AE570" s="6"/>
      <c r="AF570" t="str">
        <f t="shared" si="6"/>
        <v/>
      </c>
    </row>
    <row r="571" spans="7:32">
      <c r="G571" s="11"/>
      <c r="AD571" s="6"/>
      <c r="AE571" s="6"/>
      <c r="AF571" t="str">
        <f t="shared" si="6"/>
        <v/>
      </c>
    </row>
    <row r="572" spans="7:32">
      <c r="G572" s="11"/>
      <c r="AD572" s="6"/>
      <c r="AE572" s="6"/>
      <c r="AF572" t="str">
        <f t="shared" si="6"/>
        <v/>
      </c>
    </row>
    <row r="573" spans="7:32">
      <c r="G573" s="11"/>
      <c r="AD573" s="6"/>
      <c r="AE573" s="6"/>
      <c r="AF573" t="str">
        <f t="shared" si="6"/>
        <v/>
      </c>
    </row>
    <row r="574" spans="7:32">
      <c r="G574" s="11"/>
      <c r="AD574" s="6"/>
      <c r="AE574" s="6"/>
      <c r="AF574" t="str">
        <f t="shared" si="6"/>
        <v/>
      </c>
    </row>
    <row r="575" spans="7:32">
      <c r="G575" s="11"/>
      <c r="AD575" s="6"/>
      <c r="AE575" s="6"/>
      <c r="AF575" t="str">
        <f t="shared" si="6"/>
        <v/>
      </c>
    </row>
    <row r="576" spans="7:32">
      <c r="G576" s="11"/>
      <c r="AD576" s="6"/>
      <c r="AE576" s="6"/>
      <c r="AF576" t="str">
        <f t="shared" si="6"/>
        <v/>
      </c>
    </row>
    <row r="577" spans="7:32">
      <c r="G577" s="11"/>
      <c r="AD577" s="6"/>
      <c r="AE577" s="6"/>
      <c r="AF577" t="str">
        <f t="shared" si="6"/>
        <v/>
      </c>
    </row>
    <row r="578" spans="7:32">
      <c r="G578" s="11"/>
      <c r="AD578" s="6"/>
      <c r="AE578" s="6"/>
      <c r="AF578" t="str">
        <f t="shared" si="6"/>
        <v/>
      </c>
    </row>
    <row r="579" spans="7:32">
      <c r="G579" s="11"/>
      <c r="AD579" s="6"/>
      <c r="AE579" s="6"/>
      <c r="AF579" t="str">
        <f t="shared" si="6"/>
        <v/>
      </c>
    </row>
    <row r="580" spans="7:32">
      <c r="G580" s="11"/>
      <c r="AD580" s="6"/>
      <c r="AE580" s="6"/>
      <c r="AF580" t="str">
        <f t="shared" si="6"/>
        <v/>
      </c>
    </row>
    <row r="581" spans="7:32">
      <c r="G581" s="11"/>
      <c r="AD581" s="6"/>
      <c r="AE581" s="6"/>
      <c r="AF581" t="str">
        <f t="shared" si="6"/>
        <v/>
      </c>
    </row>
    <row r="582" spans="7:32">
      <c r="G582" s="11"/>
      <c r="AD582" s="6"/>
      <c r="AE582" s="6"/>
      <c r="AF582" t="str">
        <f t="shared" si="6"/>
        <v/>
      </c>
    </row>
    <row r="583" spans="7:32">
      <c r="G583" s="11"/>
      <c r="AD583" s="6"/>
      <c r="AE583" s="6"/>
      <c r="AF583" t="str">
        <f t="shared" si="6"/>
        <v/>
      </c>
    </row>
    <row r="584" spans="7:32">
      <c r="G584" s="11"/>
      <c r="AD584" s="6"/>
      <c r="AE584" s="6"/>
      <c r="AF584" t="str">
        <f t="shared" si="6"/>
        <v/>
      </c>
    </row>
    <row r="585" spans="7:32">
      <c r="G585" s="11"/>
      <c r="AD585" s="6"/>
      <c r="AE585" s="6"/>
      <c r="AF585" t="str">
        <f t="shared" si="6"/>
        <v/>
      </c>
    </row>
    <row r="586" spans="7:32">
      <c r="G586" s="11"/>
      <c r="AD586" s="6"/>
      <c r="AE586" s="6"/>
      <c r="AF586" t="str">
        <f t="shared" si="6"/>
        <v/>
      </c>
    </row>
    <row r="587" spans="7:32">
      <c r="G587" s="11"/>
      <c r="AD587" s="6"/>
      <c r="AE587" s="6"/>
      <c r="AF587" t="str">
        <f t="shared" si="6"/>
        <v/>
      </c>
    </row>
    <row r="588" spans="7:32">
      <c r="G588" s="11"/>
      <c r="AD588" s="6"/>
      <c r="AE588" s="6"/>
      <c r="AF588" t="str">
        <f t="shared" si="6"/>
        <v/>
      </c>
    </row>
    <row r="589" spans="7:32">
      <c r="G589" s="11"/>
      <c r="AD589" s="6"/>
      <c r="AE589" s="6"/>
      <c r="AF589" t="str">
        <f t="shared" si="6"/>
        <v/>
      </c>
    </row>
    <row r="590" spans="7:32">
      <c r="G590" s="11"/>
      <c r="AD590" s="6"/>
      <c r="AE590" s="6"/>
      <c r="AF590" t="str">
        <f t="shared" si="6"/>
        <v/>
      </c>
    </row>
    <row r="591" spans="7:32">
      <c r="G591" s="11"/>
      <c r="AD591" s="6"/>
      <c r="AE591" s="6"/>
      <c r="AF591" t="str">
        <f t="shared" si="6"/>
        <v/>
      </c>
    </row>
    <row r="592" spans="7:32">
      <c r="G592" s="11"/>
      <c r="AD592" s="6"/>
      <c r="AE592" s="6"/>
      <c r="AF592" t="str">
        <f t="shared" si="6"/>
        <v/>
      </c>
    </row>
    <row r="593" spans="7:32">
      <c r="G593" s="11"/>
      <c r="AD593" s="6"/>
      <c r="AE593" s="6"/>
      <c r="AF593" t="str">
        <f t="shared" si="6"/>
        <v/>
      </c>
    </row>
    <row r="594" spans="7:32">
      <c r="G594" s="11"/>
      <c r="AD594" s="6"/>
      <c r="AE594" s="6"/>
      <c r="AF594" t="str">
        <f t="shared" si="6"/>
        <v/>
      </c>
    </row>
    <row r="595" spans="7:32">
      <c r="G595" s="11"/>
      <c r="AD595" s="6"/>
      <c r="AE595" s="6"/>
      <c r="AF595" t="str">
        <f t="shared" si="6"/>
        <v/>
      </c>
    </row>
    <row r="596" spans="7:32">
      <c r="G596" s="11"/>
      <c r="AD596" s="6"/>
      <c r="AE596" s="6"/>
      <c r="AF596" t="str">
        <f t="shared" si="6"/>
        <v/>
      </c>
    </row>
    <row r="597" spans="7:32">
      <c r="G597" s="11"/>
      <c r="AD597" s="6"/>
      <c r="AE597" s="6"/>
      <c r="AF597" t="str">
        <f t="shared" si="6"/>
        <v/>
      </c>
    </row>
    <row r="598" spans="7:32">
      <c r="G598" s="11"/>
      <c r="AD598" s="6"/>
      <c r="AE598" s="6"/>
      <c r="AF598" t="str">
        <f t="shared" si="6"/>
        <v/>
      </c>
    </row>
    <row r="599" spans="7:32">
      <c r="G599" s="11"/>
      <c r="AD599" s="6"/>
      <c r="AE599" s="6"/>
      <c r="AF599" t="str">
        <f t="shared" si="6"/>
        <v/>
      </c>
    </row>
    <row r="600" spans="7:32">
      <c r="G600" s="11"/>
      <c r="AD600" s="6"/>
      <c r="AE600" s="6"/>
      <c r="AF600" t="str">
        <f t="shared" si="6"/>
        <v/>
      </c>
    </row>
    <row r="601" spans="7:32">
      <c r="G601" s="11"/>
      <c r="AD601" s="6"/>
      <c r="AE601" s="6"/>
      <c r="AF601" t="str">
        <f t="shared" si="6"/>
        <v/>
      </c>
    </row>
    <row r="602" spans="7:32">
      <c r="G602" s="11"/>
      <c r="AD602" s="6"/>
      <c r="AE602" s="6"/>
      <c r="AF602" t="str">
        <f t="shared" si="6"/>
        <v/>
      </c>
    </row>
    <row r="603" spans="7:32">
      <c r="G603" s="11"/>
      <c r="AD603" s="6"/>
      <c r="AE603" s="6"/>
      <c r="AF603" t="str">
        <f t="shared" si="6"/>
        <v/>
      </c>
    </row>
    <row r="604" spans="7:32">
      <c r="G604" s="11"/>
      <c r="AD604" s="6"/>
      <c r="AE604" s="6"/>
      <c r="AF604" t="str">
        <f t="shared" si="6"/>
        <v/>
      </c>
    </row>
    <row r="605" spans="7:32">
      <c r="G605" s="11"/>
      <c r="AD605" s="6"/>
      <c r="AE605" s="6"/>
      <c r="AF605" t="str">
        <f t="shared" si="6"/>
        <v/>
      </c>
    </row>
    <row r="606" spans="7:32">
      <c r="G606" s="11"/>
      <c r="AD606" s="6"/>
      <c r="AE606" s="6"/>
      <c r="AF606" t="str">
        <f t="shared" si="6"/>
        <v/>
      </c>
    </row>
    <row r="607" spans="7:32">
      <c r="G607" s="11"/>
      <c r="AD607" s="6"/>
      <c r="AE607" s="6"/>
      <c r="AF607" t="str">
        <f t="shared" si="6"/>
        <v/>
      </c>
    </row>
    <row r="608" spans="7:32">
      <c r="G608" s="11"/>
      <c r="AD608" s="6"/>
      <c r="AE608" s="6"/>
      <c r="AF608" t="str">
        <f t="shared" si="6"/>
        <v/>
      </c>
    </row>
    <row r="609" spans="7:32">
      <c r="G609" s="11"/>
      <c r="AD609" s="6"/>
      <c r="AF609" t="str">
        <f t="shared" si="6"/>
        <v/>
      </c>
    </row>
    <row r="610" spans="7:32">
      <c r="G610" s="65"/>
      <c r="AF610" t="str">
        <f t="shared" si="6"/>
        <v/>
      </c>
    </row>
    <row r="611" spans="7:32">
      <c r="G611" s="65"/>
      <c r="AF611" t="str">
        <f t="shared" si="6"/>
        <v/>
      </c>
    </row>
    <row r="612" spans="7:32">
      <c r="G612" s="65"/>
      <c r="AF612" t="str">
        <f t="shared" si="6"/>
        <v/>
      </c>
    </row>
    <row r="613" spans="7:32">
      <c r="G613" s="65"/>
      <c r="AF613" t="str">
        <f t="shared" si="6"/>
        <v/>
      </c>
    </row>
    <row r="614" spans="7:32">
      <c r="G614" s="65"/>
      <c r="AF614" t="str">
        <f t="shared" si="6"/>
        <v/>
      </c>
    </row>
    <row r="615" spans="7:32">
      <c r="G615" s="65"/>
      <c r="AF615" t="str">
        <f t="shared" si="6"/>
        <v/>
      </c>
    </row>
    <row r="616" spans="7:32">
      <c r="G616" s="65"/>
      <c r="AF616" t="str">
        <f t="shared" si="6"/>
        <v/>
      </c>
    </row>
    <row r="617" spans="7:32">
      <c r="G617" s="65"/>
      <c r="AF617" t="str">
        <f t="shared" si="6"/>
        <v/>
      </c>
    </row>
    <row r="618" spans="7:32">
      <c r="G618" s="65"/>
      <c r="AF618" t="str">
        <f t="shared" si="6"/>
        <v/>
      </c>
    </row>
    <row r="619" spans="7:32">
      <c r="G619" s="65"/>
      <c r="AF619" t="str">
        <f t="shared" si="6"/>
        <v/>
      </c>
    </row>
    <row r="620" spans="7:32">
      <c r="G620" s="65"/>
      <c r="AF620" t="str">
        <f t="shared" si="6"/>
        <v/>
      </c>
    </row>
    <row r="621" spans="7:32">
      <c r="G621" s="65"/>
      <c r="AF621" t="str">
        <f t="shared" si="6"/>
        <v/>
      </c>
    </row>
    <row r="622" spans="7:32">
      <c r="G622" s="65"/>
      <c r="AF622" t="str">
        <f t="shared" si="6"/>
        <v/>
      </c>
    </row>
    <row r="623" spans="7:32">
      <c r="G623" s="65"/>
      <c r="AF623" t="str">
        <f t="shared" si="6"/>
        <v/>
      </c>
    </row>
    <row r="624" spans="7:32">
      <c r="G624" s="65"/>
      <c r="AF624" t="str">
        <f t="shared" si="6"/>
        <v/>
      </c>
    </row>
    <row r="625" spans="7:32">
      <c r="G625" s="65"/>
      <c r="AF625" t="str">
        <f t="shared" si="6"/>
        <v/>
      </c>
    </row>
    <row r="626" spans="7:32">
      <c r="G626" s="65"/>
      <c r="AF626" t="str">
        <f t="shared" si="6"/>
        <v/>
      </c>
    </row>
    <row r="627" spans="7:32">
      <c r="G627" s="65"/>
      <c r="AF627" t="str">
        <f t="shared" si="6"/>
        <v/>
      </c>
    </row>
    <row r="628" spans="7:32">
      <c r="G628" s="65"/>
      <c r="AF628" t="str">
        <f t="shared" si="6"/>
        <v/>
      </c>
    </row>
    <row r="629" spans="7:32">
      <c r="G629" s="65"/>
      <c r="AF629" t="str">
        <f t="shared" si="6"/>
        <v/>
      </c>
    </row>
    <row r="630" spans="7:32">
      <c r="G630" s="65"/>
      <c r="AF630" t="str">
        <f t="shared" si="6"/>
        <v/>
      </c>
    </row>
    <row r="631" spans="7:32">
      <c r="G631" s="65"/>
      <c r="AF631" t="str">
        <f t="shared" si="6"/>
        <v/>
      </c>
    </row>
    <row r="632" spans="7:32">
      <c r="G632" s="65"/>
      <c r="AF632" t="str">
        <f t="shared" si="6"/>
        <v/>
      </c>
    </row>
    <row r="633" spans="7:32">
      <c r="G633" s="65"/>
      <c r="AF633" t="str">
        <f t="shared" si="6"/>
        <v/>
      </c>
    </row>
    <row r="634" spans="7:32">
      <c r="G634" s="65"/>
      <c r="AF634" t="str">
        <f t="shared" si="6"/>
        <v/>
      </c>
    </row>
    <row r="635" spans="7:32">
      <c r="G635" s="65"/>
      <c r="AF635" t="str">
        <f t="shared" si="6"/>
        <v/>
      </c>
    </row>
    <row r="636" spans="7:32">
      <c r="G636" s="65"/>
      <c r="AF636" t="str">
        <f t="shared" si="6"/>
        <v/>
      </c>
    </row>
    <row r="637" spans="7:32">
      <c r="G637" s="65"/>
      <c r="AF637" t="str">
        <f t="shared" si="6"/>
        <v/>
      </c>
    </row>
    <row r="638" spans="7:32">
      <c r="G638" s="65"/>
      <c r="AF638" t="str">
        <f t="shared" si="6"/>
        <v/>
      </c>
    </row>
    <row r="639" spans="7:32">
      <c r="G639" s="65"/>
      <c r="AF639" t="str">
        <f t="shared" si="6"/>
        <v/>
      </c>
    </row>
    <row r="640" spans="7:32">
      <c r="G640" s="65"/>
      <c r="AF640" t="str">
        <f t="shared" si="6"/>
        <v/>
      </c>
    </row>
    <row r="641" spans="7:32">
      <c r="G641" s="65"/>
      <c r="AF641" t="str">
        <f t="shared" si="6"/>
        <v/>
      </c>
    </row>
    <row r="642" spans="7:32">
      <c r="G642" s="65"/>
      <c r="AF642" t="str">
        <f t="shared" si="6"/>
        <v/>
      </c>
    </row>
    <row r="643" spans="7:32">
      <c r="G643" s="65"/>
      <c r="AF643" t="str">
        <f t="shared" si="6"/>
        <v/>
      </c>
    </row>
    <row r="644" spans="7:32">
      <c r="G644" s="65"/>
      <c r="AF644" t="str">
        <f t="shared" si="6"/>
        <v/>
      </c>
    </row>
    <row r="645" spans="7:32">
      <c r="G645" s="65"/>
      <c r="AF645" t="str">
        <f t="shared" si="6"/>
        <v/>
      </c>
    </row>
    <row r="646" spans="7:32">
      <c r="G646" s="65"/>
      <c r="AF646" t="str">
        <f t="shared" si="6"/>
        <v/>
      </c>
    </row>
    <row r="647" spans="7:32">
      <c r="G647" s="65"/>
      <c r="AF647" t="str">
        <f t="shared" si="6"/>
        <v/>
      </c>
    </row>
    <row r="648" spans="7:32">
      <c r="G648" s="65"/>
      <c r="AF648" t="str">
        <f t="shared" si="6"/>
        <v/>
      </c>
    </row>
    <row r="649" spans="7:32">
      <c r="G649" s="65"/>
      <c r="AF649" t="str">
        <f t="shared" si="6"/>
        <v/>
      </c>
    </row>
    <row r="650" spans="7:32">
      <c r="G650" s="65"/>
      <c r="AF650" t="str">
        <f t="shared" si="6"/>
        <v/>
      </c>
    </row>
    <row r="651" spans="7:32">
      <c r="G651" s="65"/>
      <c r="AF651" t="str">
        <f t="shared" si="6"/>
        <v/>
      </c>
    </row>
    <row r="652" spans="7:32">
      <c r="G652" s="65"/>
      <c r="AF652" t="str">
        <f t="shared" si="6"/>
        <v/>
      </c>
    </row>
    <row r="653" spans="7:32">
      <c r="G653" s="65"/>
      <c r="AF653" t="str">
        <f t="shared" si="6"/>
        <v/>
      </c>
    </row>
    <row r="654" spans="7:32">
      <c r="G654" s="65"/>
      <c r="AF654" t="str">
        <f t="shared" si="6"/>
        <v/>
      </c>
    </row>
    <row r="655" spans="7:32">
      <c r="G655" s="65"/>
      <c r="AF655" t="str">
        <f t="shared" si="6"/>
        <v/>
      </c>
    </row>
    <row r="656" spans="7:32">
      <c r="G656" s="65"/>
      <c r="AF656" t="str">
        <f t="shared" si="6"/>
        <v/>
      </c>
    </row>
    <row r="657" spans="7:32">
      <c r="G657" s="65"/>
      <c r="AF657" t="str">
        <f t="shared" si="6"/>
        <v/>
      </c>
    </row>
    <row r="658" spans="7:32">
      <c r="G658" s="65"/>
      <c r="AF658" t="str">
        <f t="shared" si="6"/>
        <v/>
      </c>
    </row>
    <row r="659" spans="7:32">
      <c r="G659" s="65"/>
      <c r="AF659" t="str">
        <f t="shared" si="6"/>
        <v/>
      </c>
    </row>
    <row r="660" spans="7:32">
      <c r="G660" s="65"/>
      <c r="AF660" t="str">
        <f t="shared" si="6"/>
        <v/>
      </c>
    </row>
    <row r="661" spans="7:32">
      <c r="G661" s="65"/>
      <c r="AF661" t="str">
        <f t="shared" si="6"/>
        <v/>
      </c>
    </row>
    <row r="662" spans="7:32">
      <c r="G662" s="65"/>
      <c r="AF662" t="str">
        <f t="shared" si="6"/>
        <v/>
      </c>
    </row>
    <row r="663" spans="7:32">
      <c r="G663" s="65"/>
      <c r="AF663" t="str">
        <f t="shared" si="6"/>
        <v/>
      </c>
    </row>
    <row r="664" spans="7:32">
      <c r="G664" s="65"/>
      <c r="AF664" t="str">
        <f t="shared" si="6"/>
        <v/>
      </c>
    </row>
    <row r="665" spans="7:32">
      <c r="G665" s="65"/>
      <c r="AF665" t="str">
        <f t="shared" si="6"/>
        <v/>
      </c>
    </row>
    <row r="666" spans="7:32">
      <c r="G666" s="65"/>
      <c r="AF666" t="str">
        <f t="shared" si="6"/>
        <v/>
      </c>
    </row>
    <row r="667" spans="7:32">
      <c r="G667" s="65"/>
      <c r="AF667" t="str">
        <f t="shared" si="6"/>
        <v/>
      </c>
    </row>
    <row r="668" spans="7:32">
      <c r="G668" s="65"/>
      <c r="AF668" t="str">
        <f t="shared" si="6"/>
        <v/>
      </c>
    </row>
    <row r="669" spans="7:32">
      <c r="G669" s="65"/>
      <c r="AF669" t="str">
        <f t="shared" si="6"/>
        <v/>
      </c>
    </row>
    <row r="670" spans="7:32">
      <c r="G670" s="65"/>
      <c r="AF670" t="str">
        <f t="shared" si="6"/>
        <v/>
      </c>
    </row>
    <row r="671" spans="7:32">
      <c r="G671" s="65"/>
      <c r="AF671" t="str">
        <f t="shared" si="6"/>
        <v/>
      </c>
    </row>
    <row r="672" spans="7:32">
      <c r="G672" s="65"/>
      <c r="AF672" t="str">
        <f t="shared" si="6"/>
        <v/>
      </c>
    </row>
    <row r="673" spans="7:32">
      <c r="G673" s="65"/>
      <c r="AF673" t="str">
        <f t="shared" si="6"/>
        <v/>
      </c>
    </row>
    <row r="674" spans="7:32">
      <c r="G674" s="65"/>
      <c r="AF674" t="str">
        <f t="shared" si="6"/>
        <v/>
      </c>
    </row>
    <row r="675" spans="7:32">
      <c r="G675" s="65"/>
      <c r="AF675" t="str">
        <f t="shared" si="6"/>
        <v/>
      </c>
    </row>
    <row r="676" spans="7:32">
      <c r="G676" s="65"/>
      <c r="AF676" t="str">
        <f t="shared" si="6"/>
        <v/>
      </c>
    </row>
    <row r="677" spans="7:32">
      <c r="G677" s="65"/>
      <c r="AF677" t="str">
        <f t="shared" si="6"/>
        <v/>
      </c>
    </row>
    <row r="678" spans="7:32">
      <c r="G678" s="65"/>
      <c r="AF678" t="str">
        <f t="shared" si="6"/>
        <v/>
      </c>
    </row>
    <row r="679" spans="7:32">
      <c r="G679" s="65"/>
      <c r="AF679" t="str">
        <f t="shared" si="6"/>
        <v/>
      </c>
    </row>
    <row r="680" spans="7:32">
      <c r="G680" s="65"/>
      <c r="AF680" t="str">
        <f t="shared" si="6"/>
        <v/>
      </c>
    </row>
    <row r="681" spans="7:32">
      <c r="G681" s="65"/>
      <c r="AF681" t="str">
        <f t="shared" si="6"/>
        <v/>
      </c>
    </row>
    <row r="682" spans="7:32">
      <c r="G682" s="65"/>
      <c r="AF682" t="str">
        <f t="shared" si="6"/>
        <v/>
      </c>
    </row>
    <row r="683" spans="7:32">
      <c r="G683" s="65"/>
      <c r="AF683" t="str">
        <f t="shared" si="6"/>
        <v/>
      </c>
    </row>
    <row r="684" spans="7:32">
      <c r="G684" s="65"/>
      <c r="AF684" t="str">
        <f t="shared" si="6"/>
        <v/>
      </c>
    </row>
    <row r="685" spans="7:32">
      <c r="G685" s="65"/>
      <c r="AF685" t="str">
        <f t="shared" si="6"/>
        <v/>
      </c>
    </row>
    <row r="686" spans="7:32">
      <c r="G686" s="65"/>
      <c r="AF686" t="str">
        <f t="shared" si="6"/>
        <v/>
      </c>
    </row>
    <row r="687" spans="7:32">
      <c r="G687" s="65"/>
      <c r="AF687" t="str">
        <f t="shared" si="6"/>
        <v/>
      </c>
    </row>
    <row r="688" spans="7:32">
      <c r="G688" s="65"/>
      <c r="AF688" t="str">
        <f t="shared" si="6"/>
        <v/>
      </c>
    </row>
    <row r="689" spans="7:32">
      <c r="G689" s="65"/>
      <c r="AF689" t="str">
        <f t="shared" si="6"/>
        <v/>
      </c>
    </row>
    <row r="690" spans="7:32">
      <c r="G690" s="65"/>
      <c r="AF690" t="str">
        <f t="shared" si="6"/>
        <v/>
      </c>
    </row>
    <row r="691" spans="7:32">
      <c r="G691" s="65"/>
      <c r="AF691" t="str">
        <f t="shared" si="6"/>
        <v/>
      </c>
    </row>
    <row r="692" spans="7:32">
      <c r="G692" s="65"/>
      <c r="AF692" t="str">
        <f t="shared" si="6"/>
        <v/>
      </c>
    </row>
    <row r="693" spans="7:32">
      <c r="G693" s="65"/>
      <c r="AF693" t="str">
        <f t="shared" si="6"/>
        <v/>
      </c>
    </row>
    <row r="694" spans="7:32">
      <c r="G694" s="65"/>
      <c r="AF694" t="str">
        <f t="shared" si="6"/>
        <v/>
      </c>
    </row>
    <row r="695" spans="7:32">
      <c r="G695" s="65"/>
      <c r="AF695" t="str">
        <f t="shared" si="6"/>
        <v/>
      </c>
    </row>
    <row r="696" spans="7:32">
      <c r="G696" s="65"/>
      <c r="AF696" t="str">
        <f t="shared" si="6"/>
        <v/>
      </c>
    </row>
    <row r="697" spans="7:32">
      <c r="G697" s="65"/>
      <c r="AF697" t="str">
        <f t="shared" si="6"/>
        <v/>
      </c>
    </row>
    <row r="698" spans="7:32">
      <c r="G698" s="65"/>
      <c r="AF698" t="str">
        <f t="shared" si="6"/>
        <v/>
      </c>
    </row>
    <row r="699" spans="7:32">
      <c r="G699" s="65"/>
      <c r="AF699" t="str">
        <f t="shared" si="6"/>
        <v/>
      </c>
    </row>
    <row r="700" spans="7:32">
      <c r="G700" s="65"/>
      <c r="AF700" t="str">
        <f t="shared" si="6"/>
        <v/>
      </c>
    </row>
    <row r="701" spans="7:32">
      <c r="G701" s="65"/>
      <c r="AF701" t="str">
        <f t="shared" si="6"/>
        <v/>
      </c>
    </row>
    <row r="702" spans="7:32">
      <c r="G702" s="65"/>
      <c r="AF702" t="str">
        <f t="shared" si="6"/>
        <v/>
      </c>
    </row>
    <row r="703" spans="7:32">
      <c r="G703" s="65"/>
      <c r="AF703" t="str">
        <f t="shared" si="6"/>
        <v/>
      </c>
    </row>
    <row r="704" spans="7:32">
      <c r="G704" s="65"/>
      <c r="AF704" t="str">
        <f t="shared" si="6"/>
        <v/>
      </c>
    </row>
    <row r="705" spans="7:32">
      <c r="G705" s="65"/>
      <c r="AF705" t="str">
        <f t="shared" si="6"/>
        <v/>
      </c>
    </row>
    <row r="706" spans="7:32">
      <c r="G706" s="65"/>
      <c r="AF706" t="str">
        <f t="shared" si="6"/>
        <v/>
      </c>
    </row>
    <row r="707" spans="7:32">
      <c r="G707" s="65"/>
      <c r="AF707" t="str">
        <f t="shared" si="6"/>
        <v/>
      </c>
    </row>
    <row r="708" spans="7:32">
      <c r="G708" s="65"/>
      <c r="AF708" t="str">
        <f t="shared" si="6"/>
        <v/>
      </c>
    </row>
    <row r="709" spans="7:32">
      <c r="G709" s="65"/>
      <c r="AF709" t="str">
        <f t="shared" si="6"/>
        <v/>
      </c>
    </row>
    <row r="710" spans="7:32">
      <c r="G710" s="65"/>
      <c r="AF710" t="str">
        <f t="shared" si="6"/>
        <v/>
      </c>
    </row>
    <row r="711" spans="7:32">
      <c r="G711" s="65"/>
      <c r="AF711" t="str">
        <f t="shared" si="6"/>
        <v/>
      </c>
    </row>
    <row r="712" spans="7:32">
      <c r="G712" s="65"/>
      <c r="AF712" t="str">
        <f t="shared" si="6"/>
        <v/>
      </c>
    </row>
    <row r="713" spans="7:32">
      <c r="G713" s="65"/>
      <c r="AF713" t="str">
        <f t="shared" si="6"/>
        <v/>
      </c>
    </row>
    <row r="714" spans="7:32">
      <c r="G714" s="65"/>
      <c r="AF714" t="str">
        <f t="shared" si="6"/>
        <v/>
      </c>
    </row>
    <row r="715" spans="7:32">
      <c r="G715" s="65"/>
      <c r="AF715" t="str">
        <f t="shared" si="6"/>
        <v/>
      </c>
    </row>
    <row r="716" spans="7:32">
      <c r="G716" s="65"/>
      <c r="AF716" t="str">
        <f t="shared" si="6"/>
        <v/>
      </c>
    </row>
    <row r="717" spans="7:32">
      <c r="G717" s="65"/>
      <c r="AF717" t="str">
        <f t="shared" si="6"/>
        <v/>
      </c>
    </row>
    <row r="718" spans="7:32">
      <c r="G718" s="65"/>
      <c r="AF718" t="str">
        <f t="shared" si="6"/>
        <v/>
      </c>
    </row>
    <row r="719" spans="7:32">
      <c r="G719" s="65"/>
      <c r="AF719" t="str">
        <f t="shared" si="6"/>
        <v/>
      </c>
    </row>
    <row r="720" spans="7:32">
      <c r="G720" s="65"/>
      <c r="AF720" t="str">
        <f t="shared" si="6"/>
        <v/>
      </c>
    </row>
    <row r="721" spans="7:32">
      <c r="G721" s="65"/>
      <c r="AF721" t="str">
        <f t="shared" si="6"/>
        <v/>
      </c>
    </row>
    <row r="722" spans="7:32">
      <c r="G722" s="65"/>
      <c r="AF722" t="str">
        <f t="shared" si="6"/>
        <v/>
      </c>
    </row>
    <row r="723" spans="7:32">
      <c r="G723" s="65"/>
      <c r="AF723" t="str">
        <f t="shared" si="6"/>
        <v/>
      </c>
    </row>
    <row r="724" spans="7:32">
      <c r="G724" s="65"/>
      <c r="AF724" t="str">
        <f t="shared" si="6"/>
        <v/>
      </c>
    </row>
    <row r="725" spans="7:32">
      <c r="G725" s="65"/>
      <c r="AF725" t="str">
        <f t="shared" si="6"/>
        <v/>
      </c>
    </row>
    <row r="726" spans="7:32">
      <c r="G726" s="65"/>
      <c r="AF726" t="str">
        <f t="shared" si="6"/>
        <v/>
      </c>
    </row>
    <row r="727" spans="7:32">
      <c r="G727" s="65"/>
      <c r="AF727" t="str">
        <f t="shared" si="6"/>
        <v/>
      </c>
    </row>
    <row r="728" spans="7:32">
      <c r="G728" s="65"/>
      <c r="AF728" t="str">
        <f t="shared" si="6"/>
        <v/>
      </c>
    </row>
    <row r="729" spans="7:32">
      <c r="G729" s="65"/>
      <c r="AF729" t="str">
        <f t="shared" si="6"/>
        <v/>
      </c>
    </row>
    <row r="730" spans="7:32">
      <c r="G730" s="65"/>
      <c r="AF730" t="str">
        <f t="shared" si="6"/>
        <v/>
      </c>
    </row>
    <row r="731" spans="7:32">
      <c r="G731" s="65"/>
      <c r="AF731" t="str">
        <f t="shared" si="6"/>
        <v/>
      </c>
    </row>
    <row r="732" spans="7:32">
      <c r="G732" s="65"/>
      <c r="AF732" t="str">
        <f t="shared" si="6"/>
        <v/>
      </c>
    </row>
    <row r="733" spans="7:32">
      <c r="G733" s="65"/>
      <c r="AF733" t="str">
        <f t="shared" si="6"/>
        <v/>
      </c>
    </row>
    <row r="734" spans="7:32">
      <c r="G734" s="65"/>
      <c r="AF734" t="str">
        <f t="shared" si="6"/>
        <v/>
      </c>
    </row>
    <row r="735" spans="7:32">
      <c r="G735" s="65"/>
      <c r="AF735" t="str">
        <f t="shared" si="6"/>
        <v/>
      </c>
    </row>
    <row r="736" spans="7:32">
      <c r="G736" s="65"/>
      <c r="AF736" t="str">
        <f t="shared" si="6"/>
        <v/>
      </c>
    </row>
    <row r="737" spans="7:32">
      <c r="G737" s="65"/>
      <c r="AF737" t="str">
        <f t="shared" si="6"/>
        <v/>
      </c>
    </row>
    <row r="738" spans="7:32">
      <c r="G738" s="65"/>
      <c r="AF738" t="str">
        <f t="shared" si="6"/>
        <v/>
      </c>
    </row>
    <row r="739" spans="7:32">
      <c r="G739" s="65"/>
      <c r="AF739" t="str">
        <f t="shared" si="6"/>
        <v/>
      </c>
    </row>
    <row r="740" spans="7:32">
      <c r="G740" s="65"/>
      <c r="AF740" t="str">
        <f t="shared" si="6"/>
        <v/>
      </c>
    </row>
    <row r="741" spans="7:32">
      <c r="G741" s="65"/>
      <c r="AF741" t="str">
        <f t="shared" si="6"/>
        <v/>
      </c>
    </row>
    <row r="742" spans="7:32">
      <c r="G742" s="65"/>
      <c r="AF742" t="str">
        <f t="shared" si="6"/>
        <v/>
      </c>
    </row>
    <row r="743" spans="7:32">
      <c r="G743" s="65"/>
      <c r="AF743" t="str">
        <f t="shared" si="6"/>
        <v/>
      </c>
    </row>
    <row r="744" spans="7:32">
      <c r="G744" s="65"/>
      <c r="AF744" t="str">
        <f t="shared" si="6"/>
        <v/>
      </c>
    </row>
    <row r="745" spans="7:32">
      <c r="G745" s="65"/>
      <c r="AF745" t="str">
        <f t="shared" si="6"/>
        <v/>
      </c>
    </row>
    <row r="746" spans="7:32">
      <c r="G746" s="65"/>
      <c r="AF746" t="str">
        <f t="shared" si="6"/>
        <v/>
      </c>
    </row>
    <row r="747" spans="7:32">
      <c r="G747" s="65"/>
      <c r="AF747" t="str">
        <f t="shared" si="6"/>
        <v/>
      </c>
    </row>
    <row r="748" spans="7:32">
      <c r="G748" s="65"/>
      <c r="AF748" t="str">
        <f t="shared" si="6"/>
        <v/>
      </c>
    </row>
    <row r="749" spans="7:32">
      <c r="G749" s="65"/>
      <c r="AF749" t="str">
        <f t="shared" si="6"/>
        <v/>
      </c>
    </row>
    <row r="750" spans="7:32">
      <c r="G750" s="65"/>
      <c r="AF750" t="str">
        <f t="shared" si="6"/>
        <v/>
      </c>
    </row>
    <row r="751" spans="7:32">
      <c r="G751" s="65"/>
      <c r="AF751" t="str">
        <f t="shared" si="6"/>
        <v/>
      </c>
    </row>
    <row r="752" spans="7:32">
      <c r="G752" s="65"/>
      <c r="AF752" t="str">
        <f t="shared" si="6"/>
        <v/>
      </c>
    </row>
    <row r="753" spans="7:32">
      <c r="G753" s="65"/>
      <c r="AF753" t="str">
        <f t="shared" si="6"/>
        <v/>
      </c>
    </row>
    <row r="754" spans="7:32">
      <c r="G754" s="65"/>
      <c r="AF754" t="str">
        <f t="shared" si="6"/>
        <v/>
      </c>
    </row>
    <row r="755" spans="7:32">
      <c r="G755" s="65"/>
      <c r="AF755" t="str">
        <f t="shared" si="6"/>
        <v/>
      </c>
    </row>
    <row r="756" spans="7:32">
      <c r="G756" s="65"/>
      <c r="AF756" t="str">
        <f t="shared" si="6"/>
        <v/>
      </c>
    </row>
    <row r="757" spans="7:32">
      <c r="G757" s="65"/>
      <c r="AF757" t="str">
        <f t="shared" si="6"/>
        <v/>
      </c>
    </row>
    <row r="758" spans="7:32">
      <c r="G758" s="65"/>
      <c r="AF758" t="str">
        <f t="shared" si="6"/>
        <v/>
      </c>
    </row>
    <row r="759" spans="7:32">
      <c r="G759" s="65"/>
      <c r="AF759" t="str">
        <f t="shared" si="6"/>
        <v/>
      </c>
    </row>
    <row r="760" spans="7:32">
      <c r="G760" s="65"/>
      <c r="AF760" t="str">
        <f t="shared" si="6"/>
        <v/>
      </c>
    </row>
    <row r="761" spans="7:32">
      <c r="G761" s="65"/>
      <c r="AF761" t="str">
        <f t="shared" si="6"/>
        <v/>
      </c>
    </row>
    <row r="762" spans="7:32">
      <c r="G762" s="65"/>
      <c r="AF762" t="str">
        <f t="shared" si="6"/>
        <v/>
      </c>
    </row>
    <row r="763" spans="7:32">
      <c r="G763" s="65"/>
      <c r="AF763" t="str">
        <f t="shared" si="6"/>
        <v/>
      </c>
    </row>
    <row r="764" spans="7:32">
      <c r="G764" s="65"/>
      <c r="AF764" t="str">
        <f t="shared" si="6"/>
        <v/>
      </c>
    </row>
    <row r="765" spans="7:32">
      <c r="G765" s="65"/>
      <c r="AF765" t="str">
        <f t="shared" si="6"/>
        <v/>
      </c>
    </row>
    <row r="766" spans="7:32">
      <c r="G766" s="65"/>
      <c r="AF766" t="str">
        <f t="shared" si="6"/>
        <v/>
      </c>
    </row>
    <row r="767" spans="7:32">
      <c r="G767" s="65"/>
      <c r="AF767" t="str">
        <f t="shared" si="6"/>
        <v/>
      </c>
    </row>
    <row r="768" spans="7:32">
      <c r="G768" s="65"/>
      <c r="AF768" t="str">
        <f t="shared" si="6"/>
        <v/>
      </c>
    </row>
    <row r="769" spans="7:32">
      <c r="G769" s="65"/>
      <c r="AF769" t="str">
        <f t="shared" si="6"/>
        <v/>
      </c>
    </row>
    <row r="770" spans="7:32">
      <c r="G770" s="65"/>
      <c r="AF770" t="str">
        <f t="shared" si="6"/>
        <v/>
      </c>
    </row>
    <row r="771" spans="7:32">
      <c r="G771" s="65"/>
      <c r="AF771" t="str">
        <f t="shared" si="6"/>
        <v/>
      </c>
    </row>
    <row r="772" spans="7:32">
      <c r="G772" s="65"/>
      <c r="AF772" t="str">
        <f t="shared" si="6"/>
        <v/>
      </c>
    </row>
    <row r="773" spans="7:32">
      <c r="G773" s="65"/>
      <c r="AF773" t="str">
        <f t="shared" si="6"/>
        <v/>
      </c>
    </row>
    <row r="774" spans="7:32">
      <c r="G774" s="65"/>
      <c r="AF774" t="str">
        <f t="shared" si="6"/>
        <v/>
      </c>
    </row>
    <row r="775" spans="7:32">
      <c r="G775" s="65"/>
      <c r="AF775" t="str">
        <f t="shared" si="6"/>
        <v/>
      </c>
    </row>
    <row r="776" spans="7:32">
      <c r="G776" s="65"/>
      <c r="AF776" t="str">
        <f t="shared" si="6"/>
        <v/>
      </c>
    </row>
    <row r="777" spans="7:32">
      <c r="G777" s="65"/>
      <c r="AF777" t="str">
        <f t="shared" si="6"/>
        <v/>
      </c>
    </row>
    <row r="778" spans="7:32">
      <c r="G778" s="65"/>
      <c r="AF778" t="str">
        <f t="shared" si="6"/>
        <v/>
      </c>
    </row>
    <row r="779" spans="7:32">
      <c r="G779" s="65"/>
      <c r="AF779" t="str">
        <f t="shared" si="6"/>
        <v/>
      </c>
    </row>
    <row r="780" spans="7:32">
      <c r="G780" s="65"/>
      <c r="AF780" t="str">
        <f t="shared" si="6"/>
        <v/>
      </c>
    </row>
    <row r="781" spans="7:32">
      <c r="G781" s="65"/>
      <c r="AF781" t="str">
        <f t="shared" si="6"/>
        <v/>
      </c>
    </row>
    <row r="782" spans="7:32">
      <c r="G782" s="65"/>
      <c r="AF782" t="str">
        <f t="shared" si="6"/>
        <v/>
      </c>
    </row>
    <row r="783" spans="7:32">
      <c r="G783" s="65"/>
      <c r="AF783" t="str">
        <f t="shared" si="6"/>
        <v/>
      </c>
    </row>
    <row r="784" spans="7:32">
      <c r="G784" s="65"/>
      <c r="AF784" t="str">
        <f t="shared" si="6"/>
        <v/>
      </c>
    </row>
    <row r="785" spans="7:32">
      <c r="G785" s="65"/>
      <c r="AF785" t="str">
        <f t="shared" si="6"/>
        <v/>
      </c>
    </row>
    <row r="786" spans="7:32">
      <c r="G786" s="65"/>
      <c r="AF786" t="str">
        <f t="shared" si="6"/>
        <v/>
      </c>
    </row>
    <row r="787" spans="7:32">
      <c r="G787" s="65"/>
      <c r="AF787" t="str">
        <f t="shared" si="6"/>
        <v/>
      </c>
    </row>
    <row r="788" spans="7:32">
      <c r="G788" s="65"/>
      <c r="AF788" t="str">
        <f t="shared" si="6"/>
        <v/>
      </c>
    </row>
    <row r="789" spans="7:32">
      <c r="G789" s="65"/>
      <c r="AF789" t="str">
        <f t="shared" si="6"/>
        <v/>
      </c>
    </row>
    <row r="790" spans="7:32">
      <c r="G790" s="65"/>
      <c r="AF790" t="str">
        <f t="shared" si="6"/>
        <v/>
      </c>
    </row>
    <row r="791" spans="7:32">
      <c r="G791" s="65"/>
      <c r="AF791" t="str">
        <f t="shared" si="6"/>
        <v/>
      </c>
    </row>
    <row r="792" spans="7:32">
      <c r="G792" s="65"/>
      <c r="AF792" t="str">
        <f t="shared" si="6"/>
        <v/>
      </c>
    </row>
    <row r="793" spans="7:32">
      <c r="G793" s="65"/>
      <c r="AF793" t="str">
        <f t="shared" si="6"/>
        <v/>
      </c>
    </row>
    <row r="794" spans="7:32">
      <c r="G794" s="65"/>
      <c r="AF794" t="str">
        <f t="shared" si="6"/>
        <v/>
      </c>
    </row>
    <row r="795" spans="7:32">
      <c r="G795" s="65"/>
      <c r="AF795" t="str">
        <f t="shared" si="6"/>
        <v/>
      </c>
    </row>
    <row r="796" spans="7:32">
      <c r="G796" s="65"/>
      <c r="AF796" t="str">
        <f t="shared" si="6"/>
        <v/>
      </c>
    </row>
    <row r="797" spans="7:32">
      <c r="G797" s="65"/>
      <c r="AF797" t="str">
        <f t="shared" si="6"/>
        <v/>
      </c>
    </row>
    <row r="798" spans="7:32">
      <c r="G798" s="65"/>
      <c r="AF798" t="str">
        <f t="shared" si="6"/>
        <v/>
      </c>
    </row>
    <row r="799" spans="7:32">
      <c r="G799" s="65"/>
      <c r="AF799" t="str">
        <f t="shared" si="6"/>
        <v/>
      </c>
    </row>
    <row r="800" spans="7:32">
      <c r="G800" s="65"/>
      <c r="AF800" t="str">
        <f t="shared" si="6"/>
        <v/>
      </c>
    </row>
    <row r="801" spans="7:32">
      <c r="G801" s="65"/>
      <c r="AF801" t="str">
        <f t="shared" si="6"/>
        <v/>
      </c>
    </row>
    <row r="802" spans="7:32">
      <c r="G802" s="65"/>
      <c r="AF802" t="str">
        <f t="shared" si="6"/>
        <v/>
      </c>
    </row>
    <row r="803" spans="7:32">
      <c r="G803" s="65"/>
      <c r="AF803" t="str">
        <f t="shared" si="6"/>
        <v/>
      </c>
    </row>
    <row r="804" spans="7:32">
      <c r="G804" s="65"/>
      <c r="AF804" t="str">
        <f t="shared" si="6"/>
        <v/>
      </c>
    </row>
    <row r="805" spans="7:32">
      <c r="G805" s="65"/>
      <c r="AF805" t="str">
        <f t="shared" si="6"/>
        <v/>
      </c>
    </row>
    <row r="806" spans="7:32">
      <c r="G806" s="65"/>
      <c r="AF806" t="str">
        <f t="shared" si="6"/>
        <v/>
      </c>
    </row>
    <row r="807" spans="7:32">
      <c r="G807" s="65"/>
      <c r="AF807" t="str">
        <f t="shared" si="6"/>
        <v/>
      </c>
    </row>
    <row r="808" spans="7:32">
      <c r="G808" s="65"/>
      <c r="AF808" t="str">
        <f t="shared" si="6"/>
        <v/>
      </c>
    </row>
    <row r="809" spans="7:32">
      <c r="G809" s="65"/>
      <c r="AF809" t="str">
        <f t="shared" si="6"/>
        <v/>
      </c>
    </row>
    <row r="810" spans="7:32">
      <c r="G810" s="65"/>
      <c r="AF810" t="str">
        <f t="shared" si="6"/>
        <v/>
      </c>
    </row>
    <row r="811" spans="7:32">
      <c r="G811" s="65"/>
      <c r="AF811" t="str">
        <f t="shared" si="6"/>
        <v/>
      </c>
    </row>
    <row r="812" spans="7:32">
      <c r="G812" s="65"/>
      <c r="AF812" t="str">
        <f t="shared" si="6"/>
        <v/>
      </c>
    </row>
    <row r="813" spans="7:32">
      <c r="G813" s="65"/>
      <c r="AF813" t="str">
        <f t="shared" si="6"/>
        <v/>
      </c>
    </row>
    <row r="814" spans="7:32">
      <c r="G814" s="65"/>
      <c r="AF814" t="str">
        <f t="shared" si="6"/>
        <v/>
      </c>
    </row>
    <row r="815" spans="7:32">
      <c r="G815" s="65"/>
      <c r="AF815" t="str">
        <f t="shared" si="6"/>
        <v/>
      </c>
    </row>
    <row r="816" spans="7:32">
      <c r="G816" s="65"/>
      <c r="AF816" t="str">
        <f t="shared" si="6"/>
        <v/>
      </c>
    </row>
    <row r="817" spans="7:32">
      <c r="G817" s="65"/>
      <c r="AF817" t="str">
        <f t="shared" si="6"/>
        <v/>
      </c>
    </row>
    <row r="818" spans="7:32">
      <c r="G818" s="65"/>
      <c r="AF818" t="str">
        <f t="shared" si="6"/>
        <v/>
      </c>
    </row>
    <row r="819" spans="7:32">
      <c r="G819" s="65"/>
      <c r="AF819" t="str">
        <f t="shared" si="6"/>
        <v/>
      </c>
    </row>
    <row r="820" spans="7:32">
      <c r="G820" s="65"/>
      <c r="AF820" t="str">
        <f t="shared" si="6"/>
        <v/>
      </c>
    </row>
    <row r="821" spans="7:32">
      <c r="G821" s="65"/>
      <c r="AF821" t="str">
        <f t="shared" si="6"/>
        <v/>
      </c>
    </row>
    <row r="822" spans="7:32">
      <c r="G822" s="65"/>
      <c r="AF822" t="str">
        <f t="shared" si="6"/>
        <v/>
      </c>
    </row>
    <row r="823" spans="7:32">
      <c r="G823" s="65"/>
      <c r="AF823" t="str">
        <f t="shared" si="6"/>
        <v/>
      </c>
    </row>
    <row r="824" spans="7:32">
      <c r="G824" s="65"/>
      <c r="AF824" t="str">
        <f t="shared" si="6"/>
        <v/>
      </c>
    </row>
    <row r="825" spans="7:32">
      <c r="G825" s="65"/>
      <c r="AF825" t="str">
        <f t="shared" si="6"/>
        <v/>
      </c>
    </row>
    <row r="826" spans="7:32">
      <c r="G826" s="65"/>
      <c r="AF826" t="str">
        <f t="shared" si="6"/>
        <v/>
      </c>
    </row>
    <row r="827" spans="7:32">
      <c r="G827" s="65"/>
      <c r="AF827" t="str">
        <f t="shared" si="6"/>
        <v/>
      </c>
    </row>
    <row r="828" spans="7:32">
      <c r="G828" s="65"/>
      <c r="AF828" t="str">
        <f t="shared" si="6"/>
        <v/>
      </c>
    </row>
    <row r="829" spans="7:32">
      <c r="G829" s="65"/>
      <c r="AF829" t="str">
        <f t="shared" si="6"/>
        <v/>
      </c>
    </row>
    <row r="830" spans="7:32">
      <c r="G830" s="65"/>
      <c r="AF830" t="str">
        <f t="shared" si="6"/>
        <v/>
      </c>
    </row>
    <row r="831" spans="7:32">
      <c r="G831" s="65"/>
      <c r="AF831" t="str">
        <f t="shared" si="6"/>
        <v/>
      </c>
    </row>
    <row r="832" spans="7:32">
      <c r="G832" s="65"/>
      <c r="AF832" t="str">
        <f t="shared" si="6"/>
        <v/>
      </c>
    </row>
    <row r="833" spans="7:32">
      <c r="G833" s="65"/>
      <c r="AF833" t="str">
        <f t="shared" si="6"/>
        <v/>
      </c>
    </row>
    <row r="834" spans="7:32">
      <c r="G834" s="65"/>
      <c r="AF834" t="str">
        <f t="shared" si="6"/>
        <v/>
      </c>
    </row>
    <row r="835" spans="7:32">
      <c r="G835" s="65"/>
      <c r="AF835" t="str">
        <f t="shared" si="6"/>
        <v/>
      </c>
    </row>
    <row r="836" spans="7:32">
      <c r="G836" s="65"/>
      <c r="AF836" t="str">
        <f t="shared" si="6"/>
        <v/>
      </c>
    </row>
    <row r="837" spans="7:32">
      <c r="G837" s="65"/>
      <c r="AF837" t="str">
        <f t="shared" si="6"/>
        <v/>
      </c>
    </row>
    <row r="838" spans="7:32">
      <c r="G838" s="65"/>
      <c r="AF838" t="str">
        <f t="shared" si="6"/>
        <v/>
      </c>
    </row>
    <row r="839" spans="7:32">
      <c r="G839" s="65"/>
      <c r="AF839" t="str">
        <f t="shared" si="6"/>
        <v/>
      </c>
    </row>
    <row r="840" spans="7:32">
      <c r="G840" s="65"/>
      <c r="AF840" t="str">
        <f t="shared" si="6"/>
        <v/>
      </c>
    </row>
    <row r="841" spans="7:32">
      <c r="G841" s="65"/>
      <c r="AF841" t="str">
        <f t="shared" si="6"/>
        <v/>
      </c>
    </row>
    <row r="842" spans="7:32">
      <c r="G842" s="65"/>
      <c r="AF842" t="str">
        <f t="shared" si="6"/>
        <v/>
      </c>
    </row>
    <row r="843" spans="7:32">
      <c r="G843" s="65"/>
      <c r="AF843" t="str">
        <f t="shared" si="6"/>
        <v/>
      </c>
    </row>
    <row r="844" spans="7:32">
      <c r="G844" s="65"/>
      <c r="AF844" t="str">
        <f t="shared" si="6"/>
        <v/>
      </c>
    </row>
    <row r="845" spans="7:32">
      <c r="G845" s="65"/>
      <c r="AF845" t="str">
        <f t="shared" si="6"/>
        <v/>
      </c>
    </row>
    <row r="846" spans="7:32">
      <c r="G846" s="65"/>
      <c r="AF846" t="str">
        <f t="shared" si="6"/>
        <v/>
      </c>
    </row>
    <row r="847" spans="7:32">
      <c r="G847" s="65"/>
      <c r="AF847" t="str">
        <f t="shared" si="6"/>
        <v/>
      </c>
    </row>
    <row r="848" spans="7:32">
      <c r="G848" s="65"/>
      <c r="AF848" t="str">
        <f t="shared" si="6"/>
        <v/>
      </c>
    </row>
    <row r="849" spans="7:32">
      <c r="G849" s="65"/>
      <c r="AF849" t="str">
        <f t="shared" si="6"/>
        <v/>
      </c>
    </row>
    <row r="850" spans="7:32">
      <c r="G850" s="65"/>
      <c r="AF850" t="str">
        <f t="shared" si="6"/>
        <v/>
      </c>
    </row>
    <row r="851" spans="7:32">
      <c r="G851" s="65"/>
      <c r="AF851" t="str">
        <f t="shared" si="6"/>
        <v/>
      </c>
    </row>
    <row r="852" spans="7:32">
      <c r="G852" s="65"/>
      <c r="AF852" t="str">
        <f t="shared" si="6"/>
        <v/>
      </c>
    </row>
    <row r="853" spans="7:32">
      <c r="G853" s="65"/>
      <c r="AF853" t="str">
        <f t="shared" si="6"/>
        <v/>
      </c>
    </row>
    <row r="854" spans="7:32">
      <c r="G854" s="65"/>
      <c r="AF854" t="str">
        <f t="shared" si="6"/>
        <v/>
      </c>
    </row>
    <row r="855" spans="7:32">
      <c r="G855" s="65"/>
      <c r="AF855" t="str">
        <f t="shared" si="6"/>
        <v/>
      </c>
    </row>
    <row r="856" spans="7:32">
      <c r="G856" s="65"/>
      <c r="AF856" t="str">
        <f t="shared" si="6"/>
        <v/>
      </c>
    </row>
    <row r="857" spans="7:32">
      <c r="G857" s="65"/>
      <c r="AF857" t="str">
        <f t="shared" si="6"/>
        <v/>
      </c>
    </row>
    <row r="858" spans="7:32">
      <c r="G858" s="65"/>
      <c r="AF858" t="str">
        <f t="shared" si="6"/>
        <v/>
      </c>
    </row>
    <row r="859" spans="7:32">
      <c r="G859" s="65"/>
      <c r="AF859" t="str">
        <f t="shared" si="6"/>
        <v/>
      </c>
    </row>
    <row r="860" spans="7:32">
      <c r="G860" s="65"/>
      <c r="AF860" t="str">
        <f t="shared" si="6"/>
        <v/>
      </c>
    </row>
    <row r="861" spans="7:32">
      <c r="G861" s="65"/>
      <c r="AF861" t="str">
        <f t="shared" si="6"/>
        <v/>
      </c>
    </row>
    <row r="862" spans="7:32">
      <c r="G862" s="65"/>
      <c r="AF862" t="str">
        <f t="shared" si="6"/>
        <v/>
      </c>
    </row>
    <row r="863" spans="7:32">
      <c r="G863" s="65"/>
      <c r="AF863" t="str">
        <f t="shared" si="6"/>
        <v/>
      </c>
    </row>
    <row r="864" spans="7:32">
      <c r="G864" s="65"/>
      <c r="AF864" t="str">
        <f t="shared" si="6"/>
        <v/>
      </c>
    </row>
    <row r="865" spans="7:32">
      <c r="G865" s="65"/>
      <c r="AF865" t="str">
        <f t="shared" si="6"/>
        <v/>
      </c>
    </row>
    <row r="866" spans="7:32">
      <c r="G866" s="65"/>
      <c r="AF866" t="str">
        <f t="shared" si="6"/>
        <v/>
      </c>
    </row>
    <row r="867" spans="7:32">
      <c r="G867" s="65"/>
      <c r="AF867" t="str">
        <f t="shared" si="6"/>
        <v/>
      </c>
    </row>
    <row r="868" spans="7:32">
      <c r="G868" s="65"/>
      <c r="AF868" t="str">
        <f t="shared" si="6"/>
        <v/>
      </c>
    </row>
    <row r="869" spans="7:32">
      <c r="G869" s="65"/>
      <c r="AF869" t="str">
        <f t="shared" si="6"/>
        <v/>
      </c>
    </row>
    <row r="870" spans="7:32">
      <c r="G870" s="65"/>
      <c r="AF870" t="str">
        <f t="shared" si="6"/>
        <v/>
      </c>
    </row>
    <row r="871" spans="7:32">
      <c r="G871" s="65"/>
      <c r="AF871" t="str">
        <f t="shared" si="6"/>
        <v/>
      </c>
    </row>
    <row r="872" spans="7:32">
      <c r="G872" s="65"/>
      <c r="AF872" t="str">
        <f t="shared" si="6"/>
        <v/>
      </c>
    </row>
    <row r="873" spans="7:32">
      <c r="G873" s="65"/>
      <c r="AF873" t="str">
        <f t="shared" si="6"/>
        <v/>
      </c>
    </row>
    <row r="874" spans="7:32">
      <c r="G874" s="65"/>
      <c r="AF874" t="str">
        <f t="shared" si="6"/>
        <v/>
      </c>
    </row>
    <row r="875" spans="7:32">
      <c r="G875" s="65"/>
      <c r="AF875" t="str">
        <f t="shared" si="6"/>
        <v/>
      </c>
    </row>
    <row r="876" spans="7:32">
      <c r="G876" s="65"/>
      <c r="AF876" t="str">
        <f t="shared" si="6"/>
        <v/>
      </c>
    </row>
    <row r="877" spans="7:32">
      <c r="G877" s="65"/>
      <c r="AF877" t="str">
        <f t="shared" si="6"/>
        <v/>
      </c>
    </row>
    <row r="878" spans="7:32">
      <c r="G878" s="65"/>
      <c r="AF878" t="str">
        <f t="shared" si="6"/>
        <v/>
      </c>
    </row>
    <row r="879" spans="7:32">
      <c r="G879" s="65"/>
      <c r="AF879" t="str">
        <f t="shared" si="6"/>
        <v/>
      </c>
    </row>
    <row r="880" spans="7:32">
      <c r="G880" s="65"/>
      <c r="AF880" t="str">
        <f t="shared" si="6"/>
        <v/>
      </c>
    </row>
    <row r="881" spans="7:32">
      <c r="G881" s="65"/>
      <c r="AF881" t="str">
        <f t="shared" si="6"/>
        <v/>
      </c>
    </row>
    <row r="882" spans="7:32">
      <c r="G882" s="65"/>
      <c r="AF882" t="str">
        <f t="shared" si="6"/>
        <v/>
      </c>
    </row>
    <row r="883" spans="7:32">
      <c r="G883" s="65"/>
      <c r="AF883" t="str">
        <f t="shared" si="6"/>
        <v/>
      </c>
    </row>
    <row r="884" spans="7:32">
      <c r="G884" s="65"/>
      <c r="AF884" t="str">
        <f t="shared" si="6"/>
        <v/>
      </c>
    </row>
    <row r="885" spans="7:32">
      <c r="G885" s="65"/>
      <c r="AF885" t="str">
        <f t="shared" si="6"/>
        <v/>
      </c>
    </row>
    <row r="886" spans="7:32">
      <c r="G886" s="65"/>
      <c r="AF886" t="str">
        <f t="shared" si="6"/>
        <v/>
      </c>
    </row>
    <row r="887" spans="7:32">
      <c r="G887" s="65"/>
      <c r="AF887" t="str">
        <f t="shared" si="6"/>
        <v/>
      </c>
    </row>
    <row r="888" spans="7:32">
      <c r="G888" s="65"/>
      <c r="AF888" t="str">
        <f t="shared" si="6"/>
        <v/>
      </c>
    </row>
    <row r="889" spans="7:32">
      <c r="G889" s="65"/>
      <c r="AF889" t="str">
        <f t="shared" si="6"/>
        <v/>
      </c>
    </row>
    <row r="890" spans="7:32">
      <c r="G890" s="65"/>
      <c r="AF890" t="str">
        <f t="shared" si="6"/>
        <v/>
      </c>
    </row>
    <row r="891" spans="7:32">
      <c r="G891" s="65"/>
      <c r="AF891" t="str">
        <f t="shared" si="6"/>
        <v/>
      </c>
    </row>
    <row r="892" spans="7:32">
      <c r="G892" s="65"/>
      <c r="AF892" t="str">
        <f t="shared" si="6"/>
        <v/>
      </c>
    </row>
    <row r="893" spans="7:32">
      <c r="G893" s="65"/>
      <c r="AF893" t="str">
        <f t="shared" si="6"/>
        <v/>
      </c>
    </row>
    <row r="894" spans="7:32">
      <c r="G894" s="65"/>
      <c r="AF894" t="str">
        <f t="shared" si="6"/>
        <v/>
      </c>
    </row>
    <row r="895" spans="7:32">
      <c r="G895" s="65"/>
      <c r="AF895" t="str">
        <f t="shared" si="6"/>
        <v/>
      </c>
    </row>
    <row r="896" spans="7:32">
      <c r="G896" s="65"/>
      <c r="AF896" t="str">
        <f t="shared" si="6"/>
        <v/>
      </c>
    </row>
    <row r="897" spans="7:32">
      <c r="G897" s="65"/>
      <c r="AF897" t="str">
        <f t="shared" si="6"/>
        <v/>
      </c>
    </row>
    <row r="898" spans="7:32">
      <c r="G898" s="65"/>
      <c r="AF898" t="str">
        <f t="shared" si="6"/>
        <v/>
      </c>
    </row>
    <row r="899" spans="7:32">
      <c r="G899" s="65"/>
      <c r="AF899" t="str">
        <f t="shared" si="6"/>
        <v/>
      </c>
    </row>
    <row r="900" spans="7:32">
      <c r="G900" s="65"/>
      <c r="AF900" t="str">
        <f t="shared" si="6"/>
        <v/>
      </c>
    </row>
    <row r="901" spans="7:32">
      <c r="G901" s="65"/>
      <c r="AF901" t="str">
        <f t="shared" si="6"/>
        <v/>
      </c>
    </row>
    <row r="902" spans="7:32">
      <c r="G902" s="65"/>
      <c r="AF902" t="str">
        <f t="shared" si="6"/>
        <v/>
      </c>
    </row>
    <row r="903" spans="7:32">
      <c r="G903" s="65"/>
      <c r="AF903" t="str">
        <f t="shared" si="6"/>
        <v/>
      </c>
    </row>
    <row r="904" spans="7:32">
      <c r="G904" s="65"/>
      <c r="AF904" t="str">
        <f t="shared" si="6"/>
        <v/>
      </c>
    </row>
    <row r="905" spans="7:32">
      <c r="G905" s="65"/>
      <c r="AF905" t="str">
        <f t="shared" si="6"/>
        <v/>
      </c>
    </row>
    <row r="906" spans="7:32">
      <c r="G906" s="65"/>
      <c r="AF906" t="str">
        <f t="shared" si="6"/>
        <v/>
      </c>
    </row>
    <row r="907" spans="7:32">
      <c r="G907" s="65"/>
      <c r="AF907" t="str">
        <f t="shared" si="6"/>
        <v/>
      </c>
    </row>
    <row r="908" spans="7:32">
      <c r="G908" s="65"/>
      <c r="AF908" t="str">
        <f t="shared" si="6"/>
        <v/>
      </c>
    </row>
    <row r="909" spans="7:32">
      <c r="G909" s="65"/>
      <c r="AF909" t="str">
        <f t="shared" si="6"/>
        <v/>
      </c>
    </row>
    <row r="910" spans="7:32">
      <c r="G910" s="65"/>
      <c r="AF910" t="str">
        <f t="shared" si="6"/>
        <v/>
      </c>
    </row>
    <row r="911" spans="7:32">
      <c r="G911" s="65"/>
      <c r="AF911" t="str">
        <f t="shared" si="6"/>
        <v/>
      </c>
    </row>
    <row r="912" spans="7:32">
      <c r="G912" s="65"/>
      <c r="AF912" t="str">
        <f t="shared" si="6"/>
        <v/>
      </c>
    </row>
    <row r="913" spans="7:32">
      <c r="G913" s="65"/>
      <c r="AF913" t="str">
        <f t="shared" si="6"/>
        <v/>
      </c>
    </row>
    <row r="914" spans="7:32">
      <c r="G914" s="65"/>
      <c r="AF914" t="str">
        <f t="shared" si="6"/>
        <v/>
      </c>
    </row>
    <row r="915" spans="7:32">
      <c r="G915" s="65"/>
      <c r="AF915" t="str">
        <f t="shared" si="6"/>
        <v/>
      </c>
    </row>
    <row r="916" spans="7:32">
      <c r="G916" s="65"/>
      <c r="AF916" t="str">
        <f t="shared" si="6"/>
        <v/>
      </c>
    </row>
    <row r="917" spans="7:32">
      <c r="G917" s="65"/>
      <c r="AF917" t="str">
        <f t="shared" si="6"/>
        <v/>
      </c>
    </row>
    <row r="918" spans="7:32">
      <c r="G918" s="65"/>
      <c r="AF918" t="str">
        <f t="shared" si="6"/>
        <v/>
      </c>
    </row>
    <row r="919" spans="7:32">
      <c r="G919" s="65"/>
      <c r="AF919" t="str">
        <f t="shared" si="6"/>
        <v/>
      </c>
    </row>
    <row r="920" spans="7:32">
      <c r="G920" s="65"/>
      <c r="AF920" t="str">
        <f t="shared" si="6"/>
        <v/>
      </c>
    </row>
    <row r="921" spans="7:32">
      <c r="G921" s="65"/>
      <c r="AF921" t="str">
        <f t="shared" si="6"/>
        <v/>
      </c>
    </row>
    <row r="922" spans="7:32">
      <c r="G922" s="65"/>
      <c r="AF922" t="str">
        <f t="shared" si="6"/>
        <v/>
      </c>
    </row>
    <row r="923" spans="7:32">
      <c r="G923" s="65"/>
      <c r="AF923" t="str">
        <f t="shared" si="6"/>
        <v/>
      </c>
    </row>
    <row r="924" spans="7:32">
      <c r="G924" s="65"/>
      <c r="AF924" t="str">
        <f t="shared" si="6"/>
        <v/>
      </c>
    </row>
    <row r="925" spans="7:32">
      <c r="G925" s="65"/>
      <c r="AF925" t="str">
        <f t="shared" si="6"/>
        <v/>
      </c>
    </row>
    <row r="926" spans="7:32">
      <c r="G926" s="65"/>
      <c r="AF926" t="str">
        <f t="shared" si="6"/>
        <v/>
      </c>
    </row>
    <row r="927" spans="7:32">
      <c r="G927" s="65"/>
      <c r="AF927" t="str">
        <f t="shared" si="6"/>
        <v/>
      </c>
    </row>
    <row r="928" spans="7:32">
      <c r="G928" s="65"/>
      <c r="AF928" t="str">
        <f t="shared" si="6"/>
        <v/>
      </c>
    </row>
    <row r="929" spans="7:32">
      <c r="G929" s="65"/>
      <c r="AF929" t="str">
        <f t="shared" si="6"/>
        <v/>
      </c>
    </row>
    <row r="930" spans="7:32">
      <c r="G930" s="65"/>
      <c r="AF930" t="str">
        <f t="shared" si="6"/>
        <v/>
      </c>
    </row>
    <row r="931" spans="7:32">
      <c r="G931" s="65"/>
      <c r="AF931" t="str">
        <f t="shared" si="6"/>
        <v/>
      </c>
    </row>
    <row r="932" spans="7:32">
      <c r="G932" s="65"/>
      <c r="AF932" t="str">
        <f t="shared" si="6"/>
        <v/>
      </c>
    </row>
    <row r="933" spans="7:32">
      <c r="G933" s="65"/>
      <c r="AF933" t="str">
        <f t="shared" si="6"/>
        <v/>
      </c>
    </row>
    <row r="934" spans="7:32">
      <c r="G934" s="65"/>
      <c r="AF934" t="str">
        <f t="shared" si="6"/>
        <v/>
      </c>
    </row>
    <row r="935" spans="7:32">
      <c r="G935" s="65"/>
      <c r="AF935" t="str">
        <f t="shared" si="6"/>
        <v/>
      </c>
    </row>
    <row r="936" spans="7:32">
      <c r="G936" s="65"/>
      <c r="AF936" t="str">
        <f t="shared" si="6"/>
        <v/>
      </c>
    </row>
    <row r="937" spans="7:32">
      <c r="G937" s="65"/>
      <c r="AF937" t="str">
        <f t="shared" si="6"/>
        <v/>
      </c>
    </row>
    <row r="938" spans="7:32">
      <c r="G938" s="65"/>
      <c r="AF938" t="str">
        <f t="shared" si="6"/>
        <v/>
      </c>
    </row>
    <row r="939" spans="7:32">
      <c r="G939" s="65"/>
      <c r="AF939" t="str">
        <f t="shared" si="6"/>
        <v/>
      </c>
    </row>
    <row r="940" spans="7:32">
      <c r="G940" s="65"/>
      <c r="AF940" t="str">
        <f t="shared" si="6"/>
        <v/>
      </c>
    </row>
    <row r="941" spans="7:32">
      <c r="G941" s="65"/>
      <c r="AF941" t="str">
        <f t="shared" si="6"/>
        <v/>
      </c>
    </row>
    <row r="942" spans="7:32">
      <c r="G942" s="65"/>
      <c r="AF942" t="str">
        <f t="shared" si="6"/>
        <v/>
      </c>
    </row>
    <row r="943" spans="7:32">
      <c r="G943" s="65"/>
      <c r="AF943" t="str">
        <f t="shared" si="6"/>
        <v/>
      </c>
    </row>
    <row r="944" spans="7:32">
      <c r="G944" s="65"/>
      <c r="AF944" t="str">
        <f t="shared" si="6"/>
        <v/>
      </c>
    </row>
    <row r="945" spans="7:32">
      <c r="G945" s="65"/>
      <c r="AF945" t="str">
        <f t="shared" si="6"/>
        <v/>
      </c>
    </row>
    <row r="946" spans="7:32">
      <c r="G946" s="65"/>
      <c r="AF946" t="str">
        <f t="shared" si="6"/>
        <v/>
      </c>
    </row>
    <row r="947" spans="7:32">
      <c r="G947" s="65"/>
      <c r="AF947" t="str">
        <f t="shared" si="6"/>
        <v/>
      </c>
    </row>
    <row r="948" spans="7:32">
      <c r="G948" s="65"/>
      <c r="AF948" t="str">
        <f t="shared" si="6"/>
        <v/>
      </c>
    </row>
    <row r="949" spans="7:32">
      <c r="G949" s="65"/>
      <c r="AF949" t="str">
        <f t="shared" si="6"/>
        <v/>
      </c>
    </row>
    <row r="950" spans="7:32">
      <c r="G950" s="65"/>
      <c r="AF950" t="str">
        <f t="shared" si="6"/>
        <v/>
      </c>
    </row>
    <row r="951" spans="7:32">
      <c r="G951" s="65"/>
      <c r="AF951" t="str">
        <f t="shared" si="6"/>
        <v/>
      </c>
    </row>
    <row r="952" spans="7:32">
      <c r="G952" s="65"/>
      <c r="AF952" t="str">
        <f t="shared" si="6"/>
        <v/>
      </c>
    </row>
    <row r="953" spans="7:32">
      <c r="G953" s="65"/>
      <c r="AF953" t="str">
        <f t="shared" si="6"/>
        <v/>
      </c>
    </row>
    <row r="954" spans="7:32">
      <c r="G954" s="65"/>
      <c r="AF954" t="str">
        <f t="shared" si="6"/>
        <v/>
      </c>
    </row>
    <row r="955" spans="7:32">
      <c r="G955" s="65"/>
      <c r="AF955" t="str">
        <f t="shared" si="6"/>
        <v/>
      </c>
    </row>
    <row r="956" spans="7:32">
      <c r="G956" s="65"/>
      <c r="AF956" t="str">
        <f t="shared" si="6"/>
        <v/>
      </c>
    </row>
    <row r="957" spans="7:32">
      <c r="G957" s="65"/>
      <c r="AF957" t="str">
        <f t="shared" si="6"/>
        <v/>
      </c>
    </row>
    <row r="958" spans="7:32">
      <c r="G958" s="65"/>
      <c r="AF958" t="str">
        <f t="shared" si="6"/>
        <v/>
      </c>
    </row>
    <row r="959" spans="7:32">
      <c r="G959" s="65"/>
      <c r="AF959" t="str">
        <f t="shared" si="6"/>
        <v/>
      </c>
    </row>
    <row r="960" spans="7:32">
      <c r="G960" s="65"/>
      <c r="AF960" t="str">
        <f t="shared" si="6"/>
        <v/>
      </c>
    </row>
    <row r="961" spans="7:32">
      <c r="G961" s="65"/>
      <c r="AF961" t="str">
        <f t="shared" si="6"/>
        <v/>
      </c>
    </row>
    <row r="962" spans="7:32">
      <c r="G962" s="65"/>
      <c r="AF962" t="str">
        <f t="shared" si="6"/>
        <v/>
      </c>
    </row>
    <row r="963" spans="7:32">
      <c r="G963" s="65"/>
      <c r="AF963" t="str">
        <f t="shared" si="6"/>
        <v/>
      </c>
    </row>
    <row r="964" spans="7:32">
      <c r="G964" s="65"/>
      <c r="AF964" t="str">
        <f t="shared" si="6"/>
        <v/>
      </c>
    </row>
    <row r="965" spans="7:32">
      <c r="G965" s="65"/>
      <c r="AF965" t="str">
        <f t="shared" si="6"/>
        <v/>
      </c>
    </row>
    <row r="966" spans="7:32">
      <c r="G966" s="65"/>
      <c r="AF966" t="str">
        <f t="shared" si="6"/>
        <v/>
      </c>
    </row>
    <row r="967" spans="7:32">
      <c r="G967" s="65"/>
      <c r="AF967" t="str">
        <f t="shared" si="6"/>
        <v/>
      </c>
    </row>
    <row r="968" spans="7:32">
      <c r="G968" s="65"/>
      <c r="AF968" t="str">
        <f t="shared" si="6"/>
        <v/>
      </c>
    </row>
    <row r="969" spans="7:32">
      <c r="G969" s="65"/>
      <c r="AF969" t="str">
        <f t="shared" si="6"/>
        <v/>
      </c>
    </row>
    <row r="970" spans="7:32">
      <c r="G970" s="65"/>
      <c r="AF970" t="str">
        <f t="shared" si="6"/>
        <v/>
      </c>
    </row>
    <row r="971" spans="7:32">
      <c r="G971" s="65"/>
      <c r="AF971" t="str">
        <f t="shared" si="6"/>
        <v/>
      </c>
    </row>
    <row r="972" spans="7:32">
      <c r="G972" s="65"/>
      <c r="AF972" t="str">
        <f t="shared" si="6"/>
        <v/>
      </c>
    </row>
    <row r="973" spans="7:32">
      <c r="G973" s="65"/>
      <c r="AF973" t="str">
        <f t="shared" si="6"/>
        <v/>
      </c>
    </row>
    <row r="974" spans="7:32">
      <c r="G974" s="65"/>
      <c r="AF974" t="str">
        <f t="shared" si="6"/>
        <v/>
      </c>
    </row>
    <row r="975" spans="7:32">
      <c r="G975" s="65"/>
      <c r="AF975" t="str">
        <f t="shared" si="6"/>
        <v/>
      </c>
    </row>
    <row r="976" spans="7:32">
      <c r="G976" s="65"/>
      <c r="AF976" t="str">
        <f t="shared" si="6"/>
        <v/>
      </c>
    </row>
    <row r="977" spans="7:32">
      <c r="G977" s="65"/>
      <c r="AF977" t="str">
        <f t="shared" si="6"/>
        <v/>
      </c>
    </row>
    <row r="978" spans="7:32">
      <c r="G978" s="65"/>
      <c r="AF978" t="str">
        <f t="shared" si="6"/>
        <v/>
      </c>
    </row>
    <row r="979" spans="7:32">
      <c r="G979" s="65"/>
      <c r="AF979" t="str">
        <f t="shared" si="6"/>
        <v/>
      </c>
    </row>
    <row r="980" spans="7:32">
      <c r="G980" s="65"/>
      <c r="AF980" t="str">
        <f t="shared" si="6"/>
        <v/>
      </c>
    </row>
    <row r="981" spans="7:32">
      <c r="G981" s="65"/>
      <c r="AF981" t="str">
        <f t="shared" si="6"/>
        <v/>
      </c>
    </row>
    <row r="982" spans="7:32">
      <c r="G982" s="65"/>
      <c r="AF982" t="str">
        <f t="shared" si="6"/>
        <v/>
      </c>
    </row>
    <row r="983" spans="7:32">
      <c r="G983" s="65"/>
      <c r="AF983" t="str">
        <f t="shared" si="6"/>
        <v/>
      </c>
    </row>
    <row r="984" spans="7:32">
      <c r="G984" s="65"/>
      <c r="AF984" t="str">
        <f t="shared" si="6"/>
        <v/>
      </c>
    </row>
    <row r="985" spans="7:32">
      <c r="G985" s="65"/>
      <c r="AF985" t="str">
        <f t="shared" si="6"/>
        <v/>
      </c>
    </row>
    <row r="986" spans="7:32">
      <c r="G986" s="65"/>
      <c r="AF986" t="str">
        <f t="shared" si="6"/>
        <v/>
      </c>
    </row>
    <row r="987" spans="7:32">
      <c r="G987" s="65"/>
      <c r="AF987" t="str">
        <f t="shared" si="6"/>
        <v/>
      </c>
    </row>
    <row r="988" spans="7:32">
      <c r="G988" s="65"/>
      <c r="AF988" t="str">
        <f t="shared" si="6"/>
        <v/>
      </c>
    </row>
    <row r="989" spans="7:32">
      <c r="G989" s="65"/>
      <c r="AF989" t="str">
        <f t="shared" si="6"/>
        <v/>
      </c>
    </row>
    <row r="990" spans="7:32">
      <c r="G990" s="65"/>
      <c r="AF990" t="str">
        <f t="shared" si="6"/>
        <v/>
      </c>
    </row>
    <row r="991" spans="7:32">
      <c r="G991" s="65"/>
      <c r="AF991" t="str">
        <f t="shared" si="6"/>
        <v/>
      </c>
    </row>
    <row r="992" spans="7:32">
      <c r="G992" s="65"/>
      <c r="AF992" t="str">
        <f t="shared" si="6"/>
        <v/>
      </c>
    </row>
    <row r="993" spans="7:32">
      <c r="G993" s="65"/>
      <c r="AF993" t="str">
        <f t="shared" si="6"/>
        <v/>
      </c>
    </row>
    <row r="994" spans="7:32">
      <c r="G994" s="65"/>
      <c r="AF994" t="str">
        <f t="shared" si="6"/>
        <v/>
      </c>
    </row>
    <row r="995" spans="7:32">
      <c r="G995" s="65"/>
      <c r="AF995" t="str">
        <f t="shared" si="6"/>
        <v/>
      </c>
    </row>
    <row r="996" spans="7:32">
      <c r="G996" s="65"/>
      <c r="AF996" t="str">
        <f t="shared" si="6"/>
        <v/>
      </c>
    </row>
    <row r="997" spans="7:32">
      <c r="G997" s="65"/>
      <c r="AF997" t="str">
        <f t="shared" si="6"/>
        <v/>
      </c>
    </row>
    <row r="998" spans="7:32">
      <c r="G998" s="65"/>
      <c r="AF998" t="str">
        <f t="shared" si="6"/>
        <v/>
      </c>
    </row>
    <row r="999" spans="7:32">
      <c r="G999" s="65"/>
      <c r="AF999" t="str">
        <f t="shared" si="6"/>
        <v/>
      </c>
    </row>
    <row r="1000" spans="7:32">
      <c r="G1000" s="65"/>
      <c r="AF1000" t="str">
        <f t="shared" si="6"/>
        <v/>
      </c>
    </row>
    <row r="1001" spans="7:32">
      <c r="G1001" s="65"/>
      <c r="AF1001" t="str">
        <f t="shared" si="6"/>
        <v/>
      </c>
    </row>
    <row r="1002" spans="7:32">
      <c r="G1002" s="65"/>
      <c r="AF1002" t="str">
        <f t="shared" si="6"/>
        <v/>
      </c>
    </row>
    <row r="1003" spans="7:32">
      <c r="G1003" s="65"/>
      <c r="AF1003" t="str">
        <f t="shared" si="6"/>
        <v/>
      </c>
    </row>
    <row r="1004" spans="7:32">
      <c r="G1004" s="65"/>
      <c r="AF1004" t="str">
        <f t="shared" si="6"/>
        <v/>
      </c>
    </row>
    <row r="1005" spans="7:32">
      <c r="G1005" s="65"/>
      <c r="AF1005" t="str">
        <f t="shared" si="6"/>
        <v/>
      </c>
    </row>
    <row r="1006" spans="7:32">
      <c r="G1006" s="65"/>
      <c r="AF1006" t="str">
        <f t="shared" si="6"/>
        <v/>
      </c>
    </row>
    <row r="1007" spans="7:32">
      <c r="G1007" s="65"/>
      <c r="AF1007" t="str">
        <f t="shared" si="6"/>
        <v/>
      </c>
    </row>
    <row r="1008" spans="7:32">
      <c r="G1008" s="65"/>
      <c r="AF1008" t="str">
        <f t="shared" si="6"/>
        <v/>
      </c>
    </row>
  </sheetData>
  <autoFilter ref="P1:AF1"/>
  <hyperlinks>
    <hyperlink ref="Q2" r:id="rId1"/>
    <hyperlink ref="K7" r:id="rId2"/>
    <hyperlink ref="Q7" r:id="rId3"/>
    <hyperlink ref="Q13" r:id="rId4"/>
    <hyperlink ref="Q15" r:id="rId5"/>
    <hyperlink ref="K16" r:id="rId6"/>
    <hyperlink ref="J17" r:id="rId7"/>
    <hyperlink ref="Q17" r:id="rId8"/>
    <hyperlink ref="Q18" r:id="rId9"/>
    <hyperlink ref="K21" r:id="rId10"/>
    <hyperlink ref="I30" r:id="rId11"/>
    <hyperlink ref="K31" r:id="rId12"/>
    <hyperlink ref="J32" r:id="rId13"/>
    <hyperlink ref="Q34" r:id="rId14"/>
    <hyperlink ref="K36" r:id="rId15"/>
    <hyperlink ref="K43" r:id="rId16"/>
    <hyperlink ref="Q49" r:id="rId17"/>
    <hyperlink ref="K53" r:id="rId18"/>
    <hyperlink ref="J54" r:id="rId19"/>
    <hyperlink ref="J58" r:id="rId20"/>
    <hyperlink ref="Q62" r:id="rId21"/>
    <hyperlink ref="I66" r:id="rId22"/>
    <hyperlink ref="J66" r:id="rId23"/>
    <hyperlink ref="I68" r:id="rId24"/>
    <hyperlink ref="J68" r:id="rId25"/>
    <hyperlink ref="I69" r:id="rId26"/>
    <hyperlink ref="J71" r:id="rId27"/>
    <hyperlink ref="I73" r:id="rId28"/>
    <hyperlink ref="J73" r:id="rId29"/>
    <hyperlink ref="Q73" r:id="rId30"/>
    <hyperlink ref="Q74" r:id="rId31"/>
    <hyperlink ref="Q76" r:id="rId32"/>
    <hyperlink ref="I80" r:id="rId33"/>
    <hyperlink ref="J80" r:id="rId34"/>
    <hyperlink ref="Q80" r:id="rId35"/>
    <hyperlink ref="I83" r:id="rId36"/>
    <hyperlink ref="Q83" r:id="rId37"/>
    <hyperlink ref="Q85" r:id="rId38"/>
    <hyperlink ref="Q86" r:id="rId39"/>
    <hyperlink ref="Q89" r:id="rId40"/>
    <hyperlink ref="I93" r:id="rId41"/>
    <hyperlink ref="K96" r:id="rId42"/>
    <hyperlink ref="Q102" r:id="rId43"/>
    <hyperlink ref="K103" r:id="rId44"/>
    <hyperlink ref="Q104" r:id="rId45"/>
    <hyperlink ref="K106" r:id="rId46"/>
    <hyperlink ref="Q108" r:id="rId47"/>
    <hyperlink ref="Q111" r:id="rId48"/>
    <hyperlink ref="Q112" r:id="rId49"/>
    <hyperlink ref="Q121" r:id="rId50"/>
    <hyperlink ref="Q127" r:id="rId51"/>
    <hyperlink ref="J129" r:id="rId52"/>
    <hyperlink ref="K132" r:id="rId53"/>
    <hyperlink ref="Q132" r:id="rId54"/>
    <hyperlink ref="Q135" r:id="rId55"/>
    <hyperlink ref="Q145" r:id="rId56"/>
    <hyperlink ref="Q146" r:id="rId57"/>
    <hyperlink ref="Q148" r:id="rId58"/>
    <hyperlink ref="Q156" r:id="rId59"/>
    <hyperlink ref="J158" r:id="rId60"/>
    <hyperlink ref="K159" r:id="rId61"/>
    <hyperlink ref="Q163" r:id="rId62"/>
    <hyperlink ref="Q165" r:id="rId63"/>
    <hyperlink ref="Q167" r:id="rId64"/>
    <hyperlink ref="Q169" r:id="rId65"/>
    <hyperlink ref="Q178" r:id="rId66"/>
    <hyperlink ref="Q188" r:id="rId67"/>
    <hyperlink ref="K191" r:id="rId68"/>
    <hyperlink ref="J196" r:id="rId69"/>
    <hyperlink ref="K197" r:id="rId70"/>
    <hyperlink ref="Q201" r:id="rId71"/>
    <hyperlink ref="Q203" r:id="rId72"/>
    <hyperlink ref="J209" r:id="rId73"/>
    <hyperlink ref="Q209" r:id="rId74"/>
    <hyperlink ref="Q210" r:id="rId75"/>
    <hyperlink ref="Q212" r:id="rId76"/>
    <hyperlink ref="J215" r:id="rId77"/>
    <hyperlink ref="Q215" r:id="rId78"/>
    <hyperlink ref="Q217" r:id="rId79"/>
    <hyperlink ref="Q220" r:id="rId80"/>
    <hyperlink ref="Q221" r:id="rId81"/>
    <hyperlink ref="I222" r:id="rId82"/>
    <hyperlink ref="Q223" r:id="rId83"/>
    <hyperlink ref="K224" r:id="rId84"/>
    <hyperlink ref="K226" r:id="rId85"/>
    <hyperlink ref="Q227" r:id="rId86"/>
    <hyperlink ref="Q228" r:id="rId87"/>
    <hyperlink ref="Q234" r:id="rId88"/>
    <hyperlink ref="Q235" r:id="rId89"/>
    <hyperlink ref="Q243" r:id="rId90"/>
    <hyperlink ref="K244" r:id="rId91"/>
    <hyperlink ref="Q244" r:id="rId92"/>
    <hyperlink ref="Q248" r:id="rId93"/>
    <hyperlink ref="Q249" r:id="rId94"/>
    <hyperlink ref="J250" r:id="rId95"/>
    <hyperlink ref="Q251" r:id="rId96"/>
    <hyperlink ref="K252" r:id="rId97"/>
    <hyperlink ref="Q254" r:id="rId98"/>
    <hyperlink ref="K257" r:id="rId99"/>
    <hyperlink ref="Q261" r:id="rId100"/>
    <hyperlink ref="Q263" r:id="rId101"/>
    <hyperlink ref="Q265" r:id="rId102"/>
    <hyperlink ref="Q267" r:id="rId103"/>
    <hyperlink ref="Q268" r:id="rId104"/>
    <hyperlink ref="Q270" r:id="rId105"/>
    <hyperlink ref="Q271" r:id="rId106"/>
    <hyperlink ref="K273" r:id="rId107"/>
    <hyperlink ref="Q276" r:id="rId108"/>
    <hyperlink ref="Q277" r:id="rId109"/>
    <hyperlink ref="Q278" r:id="rId110"/>
    <hyperlink ref="Q280" r:id="rId111"/>
    <hyperlink ref="Q282" r:id="rId112"/>
    <hyperlink ref="Q284" r:id="rId113"/>
    <hyperlink ref="J285" r:id="rId114"/>
    <hyperlink ref="Q290" r:id="rId115"/>
    <hyperlink ref="Q291" r:id="rId116"/>
    <hyperlink ref="Q293" r:id="rId117"/>
    <hyperlink ref="Q295" r:id="rId118"/>
    <hyperlink ref="Q300" r:id="rId119"/>
    <hyperlink ref="Q301" r:id="rId120"/>
    <hyperlink ref="J304" r:id="rId121"/>
    <hyperlink ref="Q306" r:id="rId122"/>
    <hyperlink ref="Q313" r:id="rId123"/>
    <hyperlink ref="K314" r:id="rId124"/>
    <hyperlink ref="Q315" r:id="rId125"/>
    <hyperlink ref="Q318" r:id="rId126"/>
    <hyperlink ref="Q319" r:id="rId127"/>
    <hyperlink ref="Q320" r:id="rId128"/>
    <hyperlink ref="K323" r:id="rId129"/>
    <hyperlink ref="Q327" r:id="rId130"/>
    <hyperlink ref="Q329" r:id="rId131"/>
    <hyperlink ref="Q331" r:id="rId132"/>
    <hyperlink ref="Q332" r:id="rId133"/>
    <hyperlink ref="Q336" r:id="rId134"/>
    <hyperlink ref="Q337" r:id="rId135"/>
    <hyperlink ref="Q339" r:id="rId136"/>
    <hyperlink ref="Q341" r:id="rId137"/>
    <hyperlink ref="Q342" r:id="rId138"/>
    <hyperlink ref="Q344" r:id="rId139"/>
    <hyperlink ref="Q346" r:id="rId140"/>
    <hyperlink ref="Q347" r:id="rId141"/>
    <hyperlink ref="Q348" r:id="rId142"/>
    <hyperlink ref="Q351" r:id="rId143"/>
    <hyperlink ref="Q353" r:id="rId144"/>
    <hyperlink ref="Q355" r:id="rId145"/>
    <hyperlink ref="Q356" r:id="rId146"/>
    <hyperlink ref="Q358" r:id="rId147"/>
    <hyperlink ref="Q359" r:id="rId148"/>
    <hyperlink ref="Q363" r:id="rId149"/>
    <hyperlink ref="Q365" r:id="rId150"/>
    <hyperlink ref="Q367" r:id="rId151"/>
    <hyperlink ref="Q368" r:id="rId152"/>
    <hyperlink ref="Q369" r:id="rId153"/>
    <hyperlink ref="Q370" r:id="rId154"/>
    <hyperlink ref="Q376" r:id="rId155"/>
    <hyperlink ref="Q378" r:id="rId156"/>
    <hyperlink ref="Q379" r:id="rId157"/>
    <hyperlink ref="J382" r:id="rId158"/>
    <hyperlink ref="Q383" r:id="rId159"/>
    <hyperlink ref="Q384" r:id="rId160"/>
    <hyperlink ref="Q385" r:id="rId161"/>
    <hyperlink ref="Q387" r:id="rId162"/>
    <hyperlink ref="Q389" r:id="rId163"/>
    <hyperlink ref="Q393" r:id="rId164"/>
    <hyperlink ref="Q394" r:id="rId165"/>
    <hyperlink ref="Q395" r:id="rId166"/>
    <hyperlink ref="Q397" r:id="rId167"/>
    <hyperlink ref="I398" r:id="rId168"/>
    <hyperlink ref="I399" r:id="rId169"/>
    <hyperlink ref="J399" r:id="rId170"/>
    <hyperlink ref="K399" r:id="rId171"/>
    <hyperlink ref="Q399" r:id="rId172"/>
    <hyperlink ref="Q400" r:id="rId173"/>
    <hyperlink ref="J401" r:id="rId174"/>
    <hyperlink ref="Q403" r:id="rId175"/>
    <hyperlink ref="Q408" r:id="rId176"/>
    <hyperlink ref="Q409" r:id="rId177"/>
    <hyperlink ref="Q410" r:id="rId178"/>
    <hyperlink ref="Q411" r:id="rId179"/>
    <hyperlink ref="I413" r:id="rId180"/>
    <hyperlink ref="I419" r:id="rId181"/>
    <hyperlink ref="J420" r:id="rId182"/>
    <hyperlink ref="Q420" r:id="rId183"/>
    <hyperlink ref="K423" r:id="rId184"/>
    <hyperlink ref="Q424" r:id="rId185"/>
    <hyperlink ref="I425" r:id="rId186"/>
    <hyperlink ref="J433" r:id="rId187"/>
    <hyperlink ref="Q433" r:id="rId188"/>
    <hyperlink ref="Q435" r:id="rId189"/>
    <hyperlink ref="Q436" r:id="rId190"/>
    <hyperlink ref="Q437" r:id="rId191"/>
    <hyperlink ref="Q443" r:id="rId192"/>
    <hyperlink ref="Q445" r:id="rId193"/>
    <hyperlink ref="I446" r:id="rId194"/>
    <hyperlink ref="Q446" r:id="rId195"/>
    <hyperlink ref="I449" r:id="rId196"/>
    <hyperlink ref="J451" r:id="rId197"/>
    <hyperlink ref="Q454" r:id="rId198"/>
    <hyperlink ref="I455" r:id="rId199"/>
    <hyperlink ref="J455" r:id="rId200"/>
    <hyperlink ref="N455" r:id="rId201"/>
    <hyperlink ref="Q455" r:id="rId202"/>
    <hyperlink ref="J456" r:id="rId203"/>
    <hyperlink ref="Q457" r:id="rId204"/>
    <hyperlink ref="I458" r:id="rId205"/>
    <hyperlink ref="K458" r:id="rId206"/>
    <hyperlink ref="I459" r:id="rId207"/>
    <hyperlink ref="J459" r:id="rId208"/>
    <hyperlink ref="K459" r:id="rId209"/>
    <hyperlink ref="I460" r:id="rId210"/>
    <hyperlink ref="Q460" r:id="rId211"/>
    <hyperlink ref="I461" r:id="rId212"/>
    <hyperlink ref="J461" r:id="rId213"/>
    <hyperlink ref="K461" r:id="rId214"/>
    <hyperlink ref="Q461" r:id="rId215"/>
    <hyperlink ref="I462" r:id="rId216"/>
    <hyperlink ref="J462" r:id="rId217"/>
    <hyperlink ref="K462" r:id="rId218"/>
    <hyperlink ref="I463" r:id="rId219"/>
    <hyperlink ref="K463" r:id="rId220"/>
    <hyperlink ref="Q463" r:id="rId221"/>
    <hyperlink ref="I464" r:id="rId222"/>
    <hyperlink ref="J464" r:id="rId223"/>
    <hyperlink ref="K464" r:id="rId224"/>
    <hyperlink ref="I465" r:id="rId225"/>
    <hyperlink ref="J465" r:id="rId226"/>
    <hyperlink ref="K465" r:id="rId227"/>
    <hyperlink ref="J466" r:id="rId228"/>
    <hyperlink ref="Q466" r:id="rId229"/>
    <hyperlink ref="I467" r:id="rId230"/>
    <hyperlink ref="J467" r:id="rId231"/>
    <hyperlink ref="K467" r:id="rId232"/>
    <hyperlink ref="I468" r:id="rId233"/>
    <hyperlink ref="J468" r:id="rId234"/>
    <hyperlink ref="K468" r:id="rId235"/>
    <hyperlink ref="I469" r:id="rId236"/>
    <hyperlink ref="J469" r:id="rId237"/>
    <hyperlink ref="K469" r:id="rId238"/>
    <hyperlink ref="K470" r:id="rId239"/>
    <hyperlink ref="I471" r:id="rId240"/>
    <hyperlink ref="K471" r:id="rId241"/>
    <hyperlink ref="I472" r:id="rId242"/>
    <hyperlink ref="K472" r:id="rId243"/>
    <hyperlink ref="I473" r:id="rId244"/>
    <hyperlink ref="J473" r:id="rId245"/>
    <hyperlink ref="K473" r:id="rId246"/>
    <hyperlink ref="J474" r:id="rId247"/>
    <hyperlink ref="K474" r:id="rId248"/>
    <hyperlink ref="I475" r:id="rId249"/>
    <hyperlink ref="J475" r:id="rId250"/>
    <hyperlink ref="K475" r:id="rId251"/>
    <hyperlink ref="I476" r:id="rId252"/>
    <hyperlink ref="J476" r:id="rId253"/>
    <hyperlink ref="K476" r:id="rId254"/>
    <hyperlink ref="I477" r:id="rId255"/>
    <hyperlink ref="J477" r:id="rId256"/>
    <hyperlink ref="K477" r:id="rId257"/>
    <hyperlink ref="J478" r:id="rId258"/>
    <hyperlink ref="K478" r:id="rId259"/>
    <hyperlink ref="I479" r:id="rId260"/>
    <hyperlink ref="K479" r:id="rId261"/>
    <hyperlink ref="J480" r:id="rId262"/>
    <hyperlink ref="K480" r:id="rId263"/>
  </hyperlinks>
  <pageMargins left="0.7" right="0.7" top="0.78740157499999996" bottom="0.78740157499999996" header="0.3" footer="0.3"/>
  <drawing r:id="rId2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J47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 customHeight="1"/>
  <cols>
    <col min="1" max="1" width="7.5703125" customWidth="1"/>
    <col min="2" max="2" width="24.42578125" customWidth="1"/>
    <col min="3" max="3" width="13.7109375" customWidth="1"/>
    <col min="4" max="4" width="14.140625" customWidth="1"/>
    <col min="5" max="6" width="27.28515625" customWidth="1"/>
    <col min="7" max="7" width="27.7109375" customWidth="1"/>
    <col min="8" max="8" width="30.42578125" customWidth="1"/>
    <col min="9" max="9" width="17.7109375" customWidth="1"/>
    <col min="10" max="10" width="10.28515625" customWidth="1"/>
    <col min="11" max="11" width="29.140625" customWidth="1"/>
    <col min="12" max="13" width="7.5703125" customWidth="1"/>
    <col min="14" max="14" width="12" customWidth="1"/>
    <col min="15" max="15" width="11.140625" customWidth="1"/>
    <col min="16" max="23" width="7.5703125" customWidth="1"/>
    <col min="24" max="24" width="7.42578125" customWidth="1"/>
    <col min="25" max="36" width="12.5703125" customWidth="1"/>
  </cols>
  <sheetData>
    <row r="1" spans="1:36">
      <c r="A1" s="2" t="s">
        <v>0</v>
      </c>
      <c r="B1" s="2" t="s">
        <v>2</v>
      </c>
      <c r="C1" s="2" t="s">
        <v>4</v>
      </c>
      <c r="D1" s="2" t="s">
        <v>5</v>
      </c>
      <c r="E1" s="1" t="s">
        <v>6</v>
      </c>
      <c r="F1" s="2" t="s">
        <v>8</v>
      </c>
      <c r="G1" s="2" t="s">
        <v>11</v>
      </c>
      <c r="H1" s="1" t="s">
        <v>12</v>
      </c>
      <c r="I1" s="2" t="s">
        <v>13</v>
      </c>
      <c r="J1" s="2" t="s">
        <v>16</v>
      </c>
      <c r="K1" s="2" t="s">
        <v>17</v>
      </c>
      <c r="L1" s="2" t="s">
        <v>18</v>
      </c>
      <c r="M1" s="2" t="s">
        <v>19</v>
      </c>
      <c r="N1" s="3" t="s">
        <v>20</v>
      </c>
      <c r="O1" s="3" t="s">
        <v>21</v>
      </c>
      <c r="P1" s="2">
        <v>2010</v>
      </c>
      <c r="Q1" s="2">
        <v>2011</v>
      </c>
      <c r="R1" s="2">
        <v>2012</v>
      </c>
      <c r="S1" s="2">
        <v>2013</v>
      </c>
      <c r="T1" s="2">
        <v>2014</v>
      </c>
      <c r="U1" s="2">
        <v>2015</v>
      </c>
      <c r="V1" s="2">
        <v>2016</v>
      </c>
      <c r="W1" s="2">
        <v>2017</v>
      </c>
      <c r="X1" s="1">
        <v>2018</v>
      </c>
      <c r="Y1" s="4" t="s">
        <v>29</v>
      </c>
      <c r="Z1" s="7" t="s">
        <v>30</v>
      </c>
    </row>
    <row r="2" spans="1:36">
      <c r="A2" s="6">
        <v>1</v>
      </c>
      <c r="B2" s="6" t="s">
        <v>4109</v>
      </c>
      <c r="C2" s="6"/>
      <c r="D2" s="6" t="s">
        <v>59</v>
      </c>
      <c r="E2" s="12" t="s">
        <v>4110</v>
      </c>
      <c r="F2" s="6" t="s">
        <v>4111</v>
      </c>
      <c r="G2" s="6" t="s">
        <v>4112</v>
      </c>
      <c r="H2" s="6" t="s">
        <v>4113</v>
      </c>
      <c r="I2" s="6" t="s">
        <v>4114</v>
      </c>
      <c r="J2" s="6"/>
      <c r="K2" s="12" t="s">
        <v>4115</v>
      </c>
      <c r="L2" s="6"/>
      <c r="M2" s="6" t="s">
        <v>4116</v>
      </c>
      <c r="N2" s="14">
        <v>50.075968099999997</v>
      </c>
      <c r="O2" s="14">
        <v>14.437915800000001</v>
      </c>
      <c r="P2" s="6"/>
      <c r="Q2" s="6"/>
      <c r="R2" s="6"/>
      <c r="S2" s="6"/>
      <c r="T2" s="6"/>
      <c r="U2" s="6"/>
      <c r="V2" s="6"/>
      <c r="W2" s="6"/>
      <c r="X2" s="6"/>
    </row>
    <row r="3" spans="1:36">
      <c r="A3" s="6">
        <v>2</v>
      </c>
      <c r="B3" s="6" t="s">
        <v>4117</v>
      </c>
      <c r="C3" s="6"/>
      <c r="D3" s="6" t="s">
        <v>1556</v>
      </c>
      <c r="E3" s="12" t="s">
        <v>4118</v>
      </c>
      <c r="F3" s="6" t="s">
        <v>4111</v>
      </c>
      <c r="G3" s="6"/>
      <c r="H3" s="6" t="s">
        <v>4119</v>
      </c>
      <c r="I3" s="6" t="s">
        <v>4120</v>
      </c>
      <c r="J3" s="6"/>
      <c r="K3" s="12" t="s">
        <v>4115</v>
      </c>
      <c r="L3" s="6"/>
      <c r="M3" s="6" t="s">
        <v>4121</v>
      </c>
      <c r="N3" s="14">
        <v>50.077548299999997</v>
      </c>
      <c r="O3" s="14">
        <v>14.4051694</v>
      </c>
      <c r="P3" s="6"/>
      <c r="Q3" s="6"/>
      <c r="R3" s="6"/>
      <c r="S3" s="6"/>
      <c r="T3" s="6"/>
      <c r="U3" s="6"/>
      <c r="V3" s="6"/>
      <c r="W3" s="6"/>
      <c r="X3" s="6"/>
    </row>
    <row r="4" spans="1:36">
      <c r="A4" s="6">
        <v>3</v>
      </c>
      <c r="B4" s="6" t="s">
        <v>4122</v>
      </c>
      <c r="C4" s="6"/>
      <c r="D4" s="6" t="s">
        <v>950</v>
      </c>
      <c r="E4" s="12" t="s">
        <v>4123</v>
      </c>
      <c r="F4" s="6" t="s">
        <v>4111</v>
      </c>
      <c r="G4" s="6"/>
      <c r="H4" s="6" t="s">
        <v>4124</v>
      </c>
      <c r="I4" s="6" t="s">
        <v>955</v>
      </c>
      <c r="J4" s="12" t="s">
        <v>4125</v>
      </c>
      <c r="K4" s="12" t="s">
        <v>4126</v>
      </c>
      <c r="L4" s="6"/>
      <c r="M4" s="6" t="s">
        <v>4127</v>
      </c>
      <c r="N4" s="28">
        <v>48.813279700000002</v>
      </c>
      <c r="O4" s="28">
        <v>16.640411100000001</v>
      </c>
      <c r="P4" s="6"/>
      <c r="Q4" s="6"/>
      <c r="R4" s="6"/>
      <c r="S4" s="6"/>
      <c r="T4" s="6"/>
      <c r="U4" s="6"/>
      <c r="V4" s="6"/>
      <c r="W4" s="6"/>
      <c r="Y4" s="6"/>
      <c r="Z4" s="6"/>
      <c r="AA4" s="6"/>
      <c r="AB4" s="6"/>
      <c r="AC4" s="6"/>
      <c r="AD4" s="6"/>
      <c r="AE4" s="6"/>
      <c r="AF4" s="6"/>
      <c r="AG4" s="6"/>
      <c r="AH4" s="6"/>
      <c r="AI4" s="6"/>
      <c r="AJ4" s="6"/>
    </row>
    <row r="5" spans="1:36">
      <c r="A5" s="6">
        <v>4</v>
      </c>
      <c r="B5" s="10" t="s">
        <v>4128</v>
      </c>
      <c r="C5" s="6"/>
      <c r="D5" s="6" t="s">
        <v>674</v>
      </c>
      <c r="E5" s="12" t="s">
        <v>4129</v>
      </c>
      <c r="F5" s="6" t="s">
        <v>4111</v>
      </c>
      <c r="G5" s="15" t="s">
        <v>4130</v>
      </c>
      <c r="H5" s="6" t="s">
        <v>4131</v>
      </c>
      <c r="I5" s="6" t="s">
        <v>4132</v>
      </c>
      <c r="J5" s="6"/>
      <c r="K5" s="12" t="s">
        <v>4115</v>
      </c>
      <c r="L5" s="6"/>
      <c r="M5" s="6" t="s">
        <v>4133</v>
      </c>
      <c r="N5" s="14">
        <v>49.4141586</v>
      </c>
      <c r="O5" s="14">
        <v>14.661490300000001</v>
      </c>
      <c r="P5" s="6"/>
      <c r="Q5" s="6"/>
      <c r="R5" s="6"/>
      <c r="S5" s="6"/>
      <c r="T5" s="6"/>
      <c r="U5" s="6"/>
      <c r="V5" s="6"/>
      <c r="W5" s="6"/>
      <c r="X5" s="6"/>
      <c r="Z5" s="9" t="s">
        <v>47</v>
      </c>
    </row>
    <row r="6" spans="1:36">
      <c r="A6" s="6">
        <v>5</v>
      </c>
      <c r="B6" s="10" t="s">
        <v>4134</v>
      </c>
      <c r="C6" s="6"/>
      <c r="D6" s="6" t="s">
        <v>68</v>
      </c>
      <c r="E6" s="12" t="s">
        <v>4135</v>
      </c>
      <c r="F6" s="6" t="s">
        <v>4111</v>
      </c>
      <c r="G6" s="15" t="s">
        <v>4136</v>
      </c>
      <c r="H6" s="6" t="s">
        <v>4137</v>
      </c>
      <c r="I6" s="6" t="s">
        <v>4138</v>
      </c>
      <c r="J6" s="6"/>
      <c r="K6" s="12" t="s">
        <v>4115</v>
      </c>
      <c r="L6" s="6"/>
      <c r="M6" s="6" t="s">
        <v>4139</v>
      </c>
      <c r="N6" s="14">
        <v>50.769454199999998</v>
      </c>
      <c r="O6" s="14">
        <v>15.050409999999999</v>
      </c>
      <c r="P6" s="6"/>
      <c r="Q6" s="6"/>
      <c r="R6" s="6"/>
      <c r="S6" s="6"/>
      <c r="T6" s="6"/>
      <c r="U6" s="6"/>
      <c r="V6" s="6"/>
      <c r="W6" s="6"/>
      <c r="Z6" s="9" t="s">
        <v>47</v>
      </c>
    </row>
    <row r="7" spans="1:36">
      <c r="A7" s="6">
        <v>6</v>
      </c>
      <c r="B7" s="6" t="s">
        <v>4140</v>
      </c>
      <c r="C7" s="6"/>
      <c r="D7" s="6" t="s">
        <v>123</v>
      </c>
      <c r="E7" s="12" t="s">
        <v>4141</v>
      </c>
      <c r="F7" s="6" t="s">
        <v>4111</v>
      </c>
      <c r="G7" s="15" t="s">
        <v>4142</v>
      </c>
      <c r="H7" s="6" t="s">
        <v>4143</v>
      </c>
      <c r="I7" s="6" t="s">
        <v>4144</v>
      </c>
      <c r="J7" s="6"/>
      <c r="K7" s="12" t="s">
        <v>4145</v>
      </c>
      <c r="L7" s="6"/>
      <c r="M7" s="6" t="s">
        <v>4146</v>
      </c>
      <c r="N7" s="14">
        <v>49.835436700000002</v>
      </c>
      <c r="O7" s="14">
        <v>18.293994999999999</v>
      </c>
      <c r="P7" s="6"/>
      <c r="Q7" s="6"/>
      <c r="R7" s="6"/>
      <c r="S7" s="6"/>
      <c r="T7" s="6"/>
      <c r="U7" s="6"/>
      <c r="V7" s="6"/>
      <c r="W7" s="6"/>
      <c r="Y7" s="6"/>
      <c r="Z7" s="6"/>
      <c r="AA7" s="6"/>
      <c r="AB7" s="6"/>
      <c r="AC7" s="6"/>
      <c r="AD7" s="6"/>
      <c r="AE7" s="6"/>
      <c r="AF7" s="6"/>
      <c r="AG7" s="6"/>
      <c r="AH7" s="6"/>
      <c r="AI7" s="6"/>
      <c r="AJ7" s="6"/>
    </row>
    <row r="8" spans="1:36">
      <c r="A8" s="6">
        <v>7</v>
      </c>
      <c r="B8" s="6" t="s">
        <v>4147</v>
      </c>
      <c r="C8" s="6" t="s">
        <v>4148</v>
      </c>
      <c r="D8" s="6" t="s">
        <v>59</v>
      </c>
      <c r="E8" s="12" t="s">
        <v>4149</v>
      </c>
      <c r="F8" s="6" t="s">
        <v>4150</v>
      </c>
      <c r="G8" s="6" t="s">
        <v>4151</v>
      </c>
      <c r="H8" s="6" t="s">
        <v>4152</v>
      </c>
      <c r="I8" s="6" t="s">
        <v>4153</v>
      </c>
      <c r="J8" s="6" t="s">
        <v>4154</v>
      </c>
      <c r="K8" s="12" t="s">
        <v>4155</v>
      </c>
      <c r="L8" s="6"/>
      <c r="M8" s="6" t="s">
        <v>4156</v>
      </c>
      <c r="N8" s="14">
        <v>50.071568599999999</v>
      </c>
      <c r="O8" s="14">
        <v>14.447161100000001</v>
      </c>
      <c r="P8" s="6"/>
      <c r="Q8" s="6"/>
      <c r="R8" s="6"/>
      <c r="S8" s="6"/>
      <c r="T8" s="6"/>
      <c r="U8" s="6"/>
      <c r="V8" s="6"/>
      <c r="W8" s="6"/>
      <c r="X8" s="6"/>
    </row>
    <row r="9" spans="1:36">
      <c r="A9" s="6">
        <v>8</v>
      </c>
      <c r="B9" s="6" t="s">
        <v>4157</v>
      </c>
      <c r="C9" s="6" t="s">
        <v>4148</v>
      </c>
      <c r="D9" s="6" t="s">
        <v>4158</v>
      </c>
      <c r="E9" s="12" t="s">
        <v>4159</v>
      </c>
      <c r="F9" s="6" t="s">
        <v>4150</v>
      </c>
      <c r="G9" s="6" t="s">
        <v>4151</v>
      </c>
      <c r="H9" s="6" t="s">
        <v>4160</v>
      </c>
      <c r="I9" s="6" t="s">
        <v>4153</v>
      </c>
      <c r="J9" s="6" t="s">
        <v>4154</v>
      </c>
      <c r="K9" s="12" t="s">
        <v>4155</v>
      </c>
      <c r="L9" s="6"/>
      <c r="M9" s="6" t="s">
        <v>4161</v>
      </c>
      <c r="N9" s="14">
        <v>50.093844199999999</v>
      </c>
      <c r="O9" s="14">
        <v>14.4561697</v>
      </c>
      <c r="P9" s="6"/>
      <c r="Q9" s="6"/>
      <c r="R9" s="6"/>
      <c r="S9" s="6"/>
      <c r="T9" s="6"/>
      <c r="U9" s="6"/>
      <c r="V9" s="6"/>
      <c r="W9" s="6"/>
      <c r="X9" s="6"/>
    </row>
    <row r="10" spans="1:36">
      <c r="A10" s="6">
        <v>9</v>
      </c>
      <c r="B10" s="6" t="s">
        <v>4162</v>
      </c>
      <c r="C10" s="6"/>
      <c r="D10" s="6" t="s">
        <v>1018</v>
      </c>
      <c r="E10" s="12" t="s">
        <v>4163</v>
      </c>
      <c r="F10" s="6" t="s">
        <v>4111</v>
      </c>
      <c r="G10" s="6" t="s">
        <v>4164</v>
      </c>
      <c r="H10" s="6" t="s">
        <v>4165</v>
      </c>
      <c r="I10" s="6" t="s">
        <v>4166</v>
      </c>
      <c r="J10" s="6"/>
      <c r="K10" s="12" t="s">
        <v>4115</v>
      </c>
      <c r="L10" s="6"/>
      <c r="M10" s="6" t="s">
        <v>4167</v>
      </c>
      <c r="N10" s="14">
        <v>49.195934200000004</v>
      </c>
      <c r="O10" s="14">
        <v>16.6097003</v>
      </c>
      <c r="P10" s="6"/>
      <c r="Q10" s="6"/>
      <c r="R10" s="6"/>
      <c r="S10" s="6"/>
      <c r="T10" s="6"/>
      <c r="U10" s="6"/>
      <c r="V10" s="6"/>
      <c r="W10" s="6"/>
      <c r="Y10" s="9" t="s">
        <v>47</v>
      </c>
      <c r="Z10" s="9" t="s">
        <v>47</v>
      </c>
    </row>
    <row r="11" spans="1:36">
      <c r="A11" s="6">
        <v>10</v>
      </c>
      <c r="B11" s="6" t="s">
        <v>4168</v>
      </c>
      <c r="C11" s="6"/>
      <c r="D11" s="6" t="s">
        <v>126</v>
      </c>
      <c r="E11" s="12" t="s">
        <v>4169</v>
      </c>
      <c r="F11" s="12" t="s">
        <v>4170</v>
      </c>
      <c r="G11" s="6"/>
      <c r="H11" s="6" t="s">
        <v>4171</v>
      </c>
      <c r="I11" s="6" t="s">
        <v>4172</v>
      </c>
      <c r="J11" s="12" t="s">
        <v>4173</v>
      </c>
      <c r="K11" s="12" t="s">
        <v>4174</v>
      </c>
      <c r="L11" s="6"/>
      <c r="M11" s="6" t="s">
        <v>4175</v>
      </c>
      <c r="N11" s="28">
        <v>49.744541400000003</v>
      </c>
      <c r="O11" s="28">
        <v>18.623721100000001</v>
      </c>
      <c r="P11" s="14"/>
      <c r="Q11" s="6"/>
      <c r="R11" s="6"/>
      <c r="S11" s="6"/>
      <c r="T11" s="6"/>
      <c r="U11" s="6"/>
      <c r="V11" s="6"/>
      <c r="W11" s="6"/>
      <c r="Y11" s="6"/>
      <c r="Z11" s="6"/>
      <c r="AA11" s="6"/>
      <c r="AB11" s="6"/>
      <c r="AC11" s="6"/>
      <c r="AD11" s="6"/>
      <c r="AE11" s="6"/>
      <c r="AF11" s="6"/>
      <c r="AG11" s="6"/>
      <c r="AH11" s="6"/>
      <c r="AI11" s="6"/>
      <c r="AJ11" s="6"/>
    </row>
    <row r="12" spans="1:36">
      <c r="A12" s="6">
        <v>11</v>
      </c>
      <c r="B12" s="6" t="s">
        <v>4176</v>
      </c>
      <c r="C12" s="6"/>
      <c r="D12" s="6" t="s">
        <v>1251</v>
      </c>
      <c r="E12" s="12" t="s">
        <v>4177</v>
      </c>
      <c r="F12" s="6" t="s">
        <v>4178</v>
      </c>
      <c r="G12" s="6"/>
      <c r="H12" s="6" t="s">
        <v>4179</v>
      </c>
      <c r="I12" s="6" t="s">
        <v>1302</v>
      </c>
      <c r="J12" s="6"/>
      <c r="K12" s="6" t="s">
        <v>4180</v>
      </c>
      <c r="L12" s="6"/>
      <c r="M12" s="6" t="s">
        <v>4181</v>
      </c>
      <c r="N12" s="6">
        <v>50.418083600000003</v>
      </c>
      <c r="O12" s="6">
        <v>16.165547499999999</v>
      </c>
      <c r="P12" s="6"/>
      <c r="Q12" s="6"/>
      <c r="R12" s="6"/>
      <c r="S12" s="6"/>
      <c r="T12" s="6"/>
      <c r="U12" s="6"/>
      <c r="V12" s="6"/>
      <c r="W12" s="6"/>
    </row>
    <row r="13" spans="1:36">
      <c r="A13" s="6">
        <v>12</v>
      </c>
      <c r="B13" s="6" t="s">
        <v>4182</v>
      </c>
      <c r="C13" s="6"/>
      <c r="D13" s="6" t="s">
        <v>111</v>
      </c>
      <c r="E13" s="12" t="s">
        <v>4183</v>
      </c>
      <c r="F13" s="6" t="s">
        <v>4111</v>
      </c>
      <c r="G13" s="6" t="s">
        <v>4184</v>
      </c>
      <c r="H13" s="6" t="s">
        <v>4185</v>
      </c>
      <c r="I13" s="6" t="s">
        <v>4186</v>
      </c>
      <c r="J13" s="6" t="s">
        <v>4111</v>
      </c>
      <c r="K13" s="12" t="s">
        <v>4115</v>
      </c>
      <c r="L13" s="6"/>
      <c r="M13" s="12" t="s">
        <v>4187</v>
      </c>
      <c r="N13" s="18">
        <v>49.825840300000003</v>
      </c>
      <c r="O13" s="9">
        <v>18.1619606</v>
      </c>
      <c r="P13" s="6"/>
      <c r="Q13" s="6"/>
      <c r="R13" s="6"/>
      <c r="S13" s="6"/>
      <c r="T13" s="6"/>
      <c r="U13" s="6"/>
      <c r="V13" s="6"/>
      <c r="W13" s="6"/>
    </row>
    <row r="14" spans="1:36">
      <c r="A14" s="6">
        <v>13</v>
      </c>
      <c r="B14" s="6" t="s">
        <v>4189</v>
      </c>
      <c r="C14" s="6" t="s">
        <v>4190</v>
      </c>
      <c r="D14" s="6" t="s">
        <v>1018</v>
      </c>
      <c r="E14" s="12" t="s">
        <v>4191</v>
      </c>
      <c r="F14" s="6" t="s">
        <v>4150</v>
      </c>
      <c r="G14" s="6" t="s">
        <v>4192</v>
      </c>
      <c r="H14" s="6" t="s">
        <v>4193</v>
      </c>
      <c r="I14" s="6" t="s">
        <v>4194</v>
      </c>
      <c r="J14" s="6" t="s">
        <v>4195</v>
      </c>
      <c r="K14" s="12" t="s">
        <v>4196</v>
      </c>
      <c r="L14" s="6"/>
      <c r="M14" s="6" t="s">
        <v>4197</v>
      </c>
      <c r="N14" s="28">
        <v>49.19162</v>
      </c>
      <c r="O14" s="28">
        <v>16.654632200000002</v>
      </c>
      <c r="P14" s="6"/>
      <c r="Q14" s="6"/>
      <c r="R14" s="6"/>
      <c r="S14" s="6"/>
      <c r="T14" s="6"/>
      <c r="U14" s="6"/>
      <c r="V14" s="6"/>
      <c r="W14" s="6"/>
    </row>
    <row r="15" spans="1:36">
      <c r="A15" s="6">
        <v>14</v>
      </c>
      <c r="B15" s="10" t="s">
        <v>4198</v>
      </c>
      <c r="C15" s="6"/>
      <c r="D15" s="6" t="s">
        <v>208</v>
      </c>
      <c r="E15" s="12" t="s">
        <v>4199</v>
      </c>
      <c r="F15" s="6" t="s">
        <v>4111</v>
      </c>
      <c r="G15" s="15" t="s">
        <v>4200</v>
      </c>
      <c r="H15" s="6" t="s">
        <v>4201</v>
      </c>
      <c r="I15" s="6" t="s">
        <v>4202</v>
      </c>
      <c r="J15" s="6" t="s">
        <v>4111</v>
      </c>
      <c r="K15" s="12" t="s">
        <v>4115</v>
      </c>
      <c r="L15" s="6"/>
      <c r="M15" s="6" t="s">
        <v>4203</v>
      </c>
      <c r="N15" s="14">
        <v>50.209780299999998</v>
      </c>
      <c r="O15" s="14">
        <v>15.8314811</v>
      </c>
      <c r="P15" s="6"/>
      <c r="Q15" s="6"/>
      <c r="R15" s="6"/>
      <c r="S15" s="6"/>
      <c r="T15" s="6"/>
      <c r="U15" s="6"/>
      <c r="V15" s="6"/>
      <c r="W15" s="6"/>
      <c r="Y15" s="6"/>
      <c r="Z15" s="12" t="s">
        <v>47</v>
      </c>
      <c r="AA15" s="6"/>
      <c r="AB15" s="6"/>
      <c r="AC15" s="6"/>
      <c r="AD15" s="6"/>
      <c r="AE15" s="6"/>
      <c r="AF15" s="6"/>
      <c r="AG15" s="6"/>
      <c r="AH15" s="6"/>
      <c r="AI15" s="6"/>
      <c r="AJ15" s="6"/>
    </row>
    <row r="16" spans="1:36">
      <c r="A16" s="6">
        <v>15</v>
      </c>
      <c r="B16" s="6" t="s">
        <v>4204</v>
      </c>
      <c r="C16" s="6" t="s">
        <v>4205</v>
      </c>
      <c r="D16" s="6" t="s">
        <v>59</v>
      </c>
      <c r="E16" s="12" t="s">
        <v>4206</v>
      </c>
      <c r="F16" s="6" t="s">
        <v>4150</v>
      </c>
      <c r="G16" s="6" t="s">
        <v>4207</v>
      </c>
      <c r="H16" s="6" t="s">
        <v>4208</v>
      </c>
      <c r="I16" s="6" t="s">
        <v>4209</v>
      </c>
      <c r="J16" s="6" t="s">
        <v>4210</v>
      </c>
      <c r="K16" s="12" t="s">
        <v>4211</v>
      </c>
      <c r="L16" s="6"/>
      <c r="M16" s="6" t="s">
        <v>4212</v>
      </c>
      <c r="N16" s="14">
        <v>50.0770847</v>
      </c>
      <c r="O16" s="14">
        <v>14.4500139</v>
      </c>
      <c r="P16" s="6"/>
      <c r="Q16" s="6"/>
      <c r="R16" s="6"/>
      <c r="S16" s="6"/>
      <c r="T16" s="6"/>
      <c r="U16" s="6"/>
      <c r="V16" s="6"/>
      <c r="W16" s="6"/>
      <c r="X16" s="6"/>
    </row>
    <row r="17" spans="1:36">
      <c r="A17" s="6">
        <v>16</v>
      </c>
      <c r="B17" s="6" t="s">
        <v>166</v>
      </c>
      <c r="C17" s="6" t="s">
        <v>1224</v>
      </c>
      <c r="D17" s="6" t="s">
        <v>1224</v>
      </c>
      <c r="E17" s="12" t="s">
        <v>1226</v>
      </c>
      <c r="F17" s="12" t="s">
        <v>4178</v>
      </c>
      <c r="G17" s="6" t="s">
        <v>4213</v>
      </c>
      <c r="H17" s="6" t="s">
        <v>4214</v>
      </c>
      <c r="I17" s="6" t="s">
        <v>1228</v>
      </c>
      <c r="J17" s="6"/>
      <c r="K17" s="12" t="s">
        <v>4216</v>
      </c>
      <c r="L17" s="6"/>
      <c r="M17" s="6" t="s">
        <v>4217</v>
      </c>
      <c r="N17" s="28">
        <v>49.203447799999999</v>
      </c>
      <c r="O17" s="28">
        <v>14.217751099999999</v>
      </c>
      <c r="P17" s="6"/>
      <c r="Q17" s="6"/>
      <c r="R17" s="6"/>
      <c r="S17" s="6"/>
      <c r="T17" s="6"/>
      <c r="U17" s="6"/>
      <c r="V17" s="6"/>
      <c r="W17" s="6"/>
      <c r="X17" s="6"/>
    </row>
    <row r="18" spans="1:36">
      <c r="A18" s="6">
        <v>17</v>
      </c>
      <c r="B18" s="10" t="s">
        <v>4219</v>
      </c>
      <c r="C18" s="6"/>
      <c r="D18" s="6" t="s">
        <v>183</v>
      </c>
      <c r="E18" s="12" t="s">
        <v>4220</v>
      </c>
      <c r="F18" s="6" t="s">
        <v>4111</v>
      </c>
      <c r="G18" s="6" t="s">
        <v>4221</v>
      </c>
      <c r="H18" s="6" t="s">
        <v>4222</v>
      </c>
      <c r="I18" s="6" t="s">
        <v>4223</v>
      </c>
      <c r="J18" s="6"/>
      <c r="K18" s="12" t="s">
        <v>4115</v>
      </c>
      <c r="L18" s="6"/>
      <c r="M18" s="6" t="s">
        <v>4224</v>
      </c>
      <c r="N18" s="14">
        <v>49.965310799999997</v>
      </c>
      <c r="O18" s="14">
        <v>14.0731269</v>
      </c>
      <c r="P18" s="6"/>
      <c r="Q18" s="6"/>
      <c r="R18" s="6"/>
      <c r="S18" s="6"/>
      <c r="T18" s="6"/>
      <c r="U18" s="6"/>
      <c r="V18" s="6"/>
      <c r="W18" s="6"/>
      <c r="Y18" s="6"/>
      <c r="Z18" s="6"/>
      <c r="AA18" s="6"/>
      <c r="AB18" s="6"/>
      <c r="AC18" s="6"/>
      <c r="AD18" s="6"/>
      <c r="AE18" s="6"/>
      <c r="AF18" s="6"/>
      <c r="AG18" s="6"/>
      <c r="AH18" s="6"/>
      <c r="AI18" s="6"/>
      <c r="AJ18" s="6"/>
    </row>
    <row r="19" spans="1:36">
      <c r="A19" s="6">
        <v>18</v>
      </c>
      <c r="B19" s="6" t="s">
        <v>4225</v>
      </c>
      <c r="C19" s="6"/>
      <c r="D19" s="6" t="s">
        <v>2602</v>
      </c>
      <c r="E19" s="12" t="s">
        <v>4226</v>
      </c>
      <c r="F19" s="6" t="s">
        <v>4111</v>
      </c>
      <c r="G19" s="6" t="s">
        <v>4227</v>
      </c>
      <c r="H19" s="6" t="s">
        <v>4228</v>
      </c>
      <c r="I19" s="6" t="s">
        <v>4230</v>
      </c>
      <c r="J19" s="6" t="s">
        <v>4111</v>
      </c>
      <c r="K19" s="12" t="s">
        <v>4115</v>
      </c>
      <c r="L19" s="6"/>
      <c r="M19" s="6" t="s">
        <v>4231</v>
      </c>
      <c r="N19" s="14">
        <v>50.077634199999999</v>
      </c>
      <c r="O19" s="14">
        <v>14.439612199999999</v>
      </c>
      <c r="P19" s="6"/>
      <c r="Q19" s="6"/>
      <c r="R19" s="6"/>
      <c r="S19" s="6"/>
      <c r="T19" s="6"/>
      <c r="U19" s="6"/>
      <c r="V19" s="6"/>
      <c r="W19" s="6"/>
      <c r="X19" s="6"/>
    </row>
    <row r="20" spans="1:36">
      <c r="A20" s="6">
        <v>19</v>
      </c>
      <c r="B20" s="6" t="s">
        <v>4232</v>
      </c>
      <c r="C20" s="6"/>
      <c r="D20" s="6" t="s">
        <v>4233</v>
      </c>
      <c r="E20" s="12" t="s">
        <v>4234</v>
      </c>
      <c r="F20" s="6" t="s">
        <v>4170</v>
      </c>
      <c r="G20" s="6" t="s">
        <v>4235</v>
      </c>
      <c r="H20" s="6"/>
      <c r="I20" s="6" t="s">
        <v>1879</v>
      </c>
      <c r="J20" s="6"/>
      <c r="K20" s="6" t="s">
        <v>1875</v>
      </c>
      <c r="L20" s="6"/>
      <c r="M20" s="6" t="s">
        <v>4236</v>
      </c>
      <c r="N20" s="6">
        <v>48.827623600000003</v>
      </c>
      <c r="O20" s="6">
        <v>16.0607033</v>
      </c>
      <c r="P20" s="6"/>
      <c r="Q20" s="6"/>
      <c r="R20" s="6"/>
      <c r="S20" s="6"/>
      <c r="T20" s="6"/>
      <c r="U20" s="6"/>
      <c r="V20" s="6"/>
      <c r="W20" s="6"/>
    </row>
    <row r="21" spans="1:36">
      <c r="A21" s="6">
        <v>20</v>
      </c>
      <c r="B21" s="6" t="s">
        <v>4237</v>
      </c>
      <c r="C21" s="6"/>
      <c r="D21" s="6" t="s">
        <v>1034</v>
      </c>
      <c r="E21" s="12" t="s">
        <v>4238</v>
      </c>
      <c r="F21" s="6" t="s">
        <v>4170</v>
      </c>
      <c r="G21" s="6" t="s">
        <v>4239</v>
      </c>
      <c r="H21" s="6" t="s">
        <v>4240</v>
      </c>
      <c r="I21" s="6" t="s">
        <v>1594</v>
      </c>
      <c r="J21" s="6"/>
      <c r="K21" s="6" t="s">
        <v>1590</v>
      </c>
      <c r="L21" s="6"/>
      <c r="M21" s="6" t="s">
        <v>4241</v>
      </c>
      <c r="N21" s="6">
        <v>49.595824</v>
      </c>
      <c r="O21" s="6">
        <v>17.238603999999999</v>
      </c>
      <c r="P21" s="6"/>
      <c r="Q21" s="6"/>
      <c r="R21" s="6"/>
      <c r="S21" s="6"/>
      <c r="T21" s="6"/>
      <c r="U21" s="6"/>
      <c r="V21" s="6"/>
      <c r="W21" s="6"/>
    </row>
    <row r="22" spans="1:36">
      <c r="A22" s="6">
        <v>21</v>
      </c>
      <c r="B22" s="6" t="s">
        <v>4242</v>
      </c>
      <c r="C22" s="6" t="s">
        <v>1377</v>
      </c>
      <c r="D22" s="6" t="s">
        <v>1377</v>
      </c>
      <c r="E22" s="12" t="s">
        <v>4243</v>
      </c>
      <c r="F22" s="6" t="s">
        <v>4150</v>
      </c>
      <c r="G22" s="6" t="s">
        <v>4244</v>
      </c>
      <c r="H22" s="6"/>
      <c r="I22" s="6" t="s">
        <v>1380</v>
      </c>
      <c r="J22" s="6"/>
      <c r="K22" s="6" t="s">
        <v>1377</v>
      </c>
      <c r="L22" s="6"/>
      <c r="M22" s="6" t="s">
        <v>4245</v>
      </c>
      <c r="N22" s="6">
        <v>50.294620600000002</v>
      </c>
      <c r="O22" s="6">
        <v>16.1606025</v>
      </c>
      <c r="P22" s="6"/>
      <c r="Q22" s="6"/>
      <c r="R22" s="6"/>
      <c r="S22" s="6"/>
      <c r="T22" s="6"/>
      <c r="U22" s="6"/>
      <c r="V22" s="6"/>
      <c r="W22" s="6"/>
    </row>
    <row r="23" spans="1:36">
      <c r="A23" s="6">
        <v>22</v>
      </c>
      <c r="B23" s="6" t="s">
        <v>4246</v>
      </c>
      <c r="C23" s="6"/>
      <c r="D23" s="6" t="s">
        <v>2602</v>
      </c>
      <c r="E23" s="12" t="s">
        <v>4247</v>
      </c>
      <c r="F23" s="6" t="s">
        <v>4111</v>
      </c>
      <c r="G23" s="15" t="s">
        <v>4248</v>
      </c>
      <c r="H23" s="6" t="s">
        <v>4249</v>
      </c>
      <c r="I23" s="6" t="s">
        <v>4250</v>
      </c>
      <c r="J23" s="6"/>
      <c r="K23" s="12" t="s">
        <v>4251</v>
      </c>
      <c r="L23" s="6"/>
      <c r="M23" s="6" t="s">
        <v>4252</v>
      </c>
      <c r="N23" s="14">
        <v>50.075446900000003</v>
      </c>
      <c r="O23" s="14">
        <v>14.438028299999999</v>
      </c>
      <c r="P23" s="6"/>
      <c r="Q23" s="6"/>
      <c r="R23" s="6"/>
      <c r="S23" s="6"/>
      <c r="T23" s="6"/>
      <c r="U23" s="6"/>
      <c r="V23" s="6"/>
      <c r="W23" s="6"/>
      <c r="X23" s="6"/>
    </row>
    <row r="24" spans="1:36">
      <c r="A24" s="6">
        <v>23</v>
      </c>
      <c r="B24" s="6" t="s">
        <v>4253</v>
      </c>
      <c r="C24" s="6"/>
      <c r="D24" s="6" t="s">
        <v>2360</v>
      </c>
      <c r="E24" s="12" t="s">
        <v>4254</v>
      </c>
      <c r="F24" s="6" t="s">
        <v>4170</v>
      </c>
      <c r="G24" s="6" t="s">
        <v>4255</v>
      </c>
      <c r="H24" s="6"/>
      <c r="I24" s="6" t="s">
        <v>2364</v>
      </c>
      <c r="J24" s="6"/>
      <c r="K24" s="6" t="s">
        <v>2360</v>
      </c>
      <c r="L24" s="6"/>
      <c r="M24" s="6" t="s">
        <v>4256</v>
      </c>
      <c r="N24" s="28">
        <v>49.424405800000002</v>
      </c>
      <c r="O24" s="28">
        <v>16.351470299999999</v>
      </c>
      <c r="P24" s="6"/>
      <c r="Q24" s="6"/>
      <c r="R24" s="6"/>
      <c r="S24" s="6"/>
      <c r="T24" s="6"/>
      <c r="U24" s="6"/>
      <c r="V24" s="6"/>
      <c r="W24" s="6"/>
    </row>
    <row r="25" spans="1:36">
      <c r="A25" s="6">
        <v>24</v>
      </c>
      <c r="B25" s="6" t="s">
        <v>4257</v>
      </c>
      <c r="C25" s="6" t="s">
        <v>297</v>
      </c>
      <c r="D25" s="6" t="s">
        <v>298</v>
      </c>
      <c r="E25" s="12" t="s">
        <v>4258</v>
      </c>
      <c r="F25" s="12" t="s">
        <v>4178</v>
      </c>
      <c r="G25" s="6" t="s">
        <v>4259</v>
      </c>
      <c r="H25" s="6"/>
      <c r="I25" s="6" t="s">
        <v>300</v>
      </c>
      <c r="J25" s="6"/>
      <c r="K25" s="6" t="s">
        <v>297</v>
      </c>
      <c r="L25" s="6"/>
      <c r="M25" s="6" t="s">
        <v>4260</v>
      </c>
      <c r="N25" s="6">
        <v>48.993347200000002</v>
      </c>
      <c r="O25" s="6">
        <v>14.4772397</v>
      </c>
      <c r="P25" s="6"/>
      <c r="Q25" s="6"/>
      <c r="R25" s="6"/>
      <c r="S25" s="6"/>
      <c r="T25" s="6"/>
      <c r="U25" s="6"/>
      <c r="V25" s="6"/>
      <c r="W25" s="6"/>
      <c r="Y25" s="6"/>
      <c r="Z25" s="6"/>
      <c r="AA25" s="6"/>
      <c r="AB25" s="6"/>
      <c r="AC25" s="6"/>
      <c r="AD25" s="6"/>
      <c r="AE25" s="6"/>
      <c r="AF25" s="6"/>
      <c r="AG25" s="6"/>
      <c r="AH25" s="6"/>
      <c r="AI25" s="6"/>
      <c r="AJ25" s="6"/>
    </row>
    <row r="26" spans="1:36">
      <c r="A26" s="6">
        <v>25</v>
      </c>
      <c r="B26" s="6" t="s">
        <v>4261</v>
      </c>
      <c r="C26" s="6"/>
      <c r="D26" s="6" t="s">
        <v>4262</v>
      </c>
      <c r="E26" s="12" t="s">
        <v>4263</v>
      </c>
      <c r="F26" s="6" t="s">
        <v>4178</v>
      </c>
      <c r="G26" s="6" t="s">
        <v>4264</v>
      </c>
      <c r="H26" s="6" t="s">
        <v>4265</v>
      </c>
      <c r="I26" s="6" t="s">
        <v>300</v>
      </c>
      <c r="J26" s="6"/>
      <c r="K26" s="6" t="s">
        <v>297</v>
      </c>
      <c r="L26" s="6"/>
      <c r="M26" s="6" t="s">
        <v>4266</v>
      </c>
      <c r="N26" s="6">
        <v>50.098233299999997</v>
      </c>
      <c r="O26" s="6">
        <v>14.3961956</v>
      </c>
      <c r="P26" s="6"/>
      <c r="Q26" s="6"/>
      <c r="R26" s="6"/>
      <c r="S26" s="6"/>
      <c r="T26" s="6"/>
      <c r="U26" s="6"/>
      <c r="V26" s="6"/>
      <c r="W26" s="6"/>
      <c r="X26" s="6"/>
    </row>
    <row r="27" spans="1:36">
      <c r="A27" s="6">
        <v>26</v>
      </c>
      <c r="B27" s="6" t="s">
        <v>4268</v>
      </c>
      <c r="C27" s="6"/>
      <c r="D27" s="6" t="s">
        <v>298</v>
      </c>
      <c r="E27" s="12" t="s">
        <v>4270</v>
      </c>
      <c r="F27" s="6" t="s">
        <v>4178</v>
      </c>
      <c r="G27" s="6" t="s">
        <v>4271</v>
      </c>
      <c r="H27" s="6" t="s">
        <v>4273</v>
      </c>
      <c r="I27" s="6" t="s">
        <v>300</v>
      </c>
      <c r="J27" s="6"/>
      <c r="K27" s="6" t="s">
        <v>297</v>
      </c>
      <c r="L27" s="6"/>
      <c r="M27" s="6" t="s">
        <v>4274</v>
      </c>
      <c r="N27" s="6">
        <v>48.973613299999997</v>
      </c>
      <c r="O27" s="6">
        <v>14.475793299999999</v>
      </c>
      <c r="P27" s="6"/>
      <c r="Q27" s="6"/>
      <c r="R27" s="6"/>
      <c r="S27" s="6"/>
      <c r="T27" s="6"/>
      <c r="U27" s="6"/>
      <c r="V27" s="6"/>
      <c r="W27" s="6"/>
    </row>
    <row r="28" spans="1:36">
      <c r="A28" s="6">
        <v>27</v>
      </c>
      <c r="B28" s="6" t="s">
        <v>4275</v>
      </c>
      <c r="C28" s="6"/>
      <c r="D28" s="6" t="s">
        <v>4262</v>
      </c>
      <c r="E28" s="12" t="s">
        <v>4276</v>
      </c>
      <c r="F28" s="6" t="s">
        <v>4170</v>
      </c>
      <c r="G28" s="6" t="s">
        <v>4277</v>
      </c>
      <c r="H28" s="6" t="s">
        <v>4278</v>
      </c>
      <c r="I28" s="6" t="s">
        <v>2842</v>
      </c>
      <c r="J28" s="6"/>
      <c r="K28" s="6" t="s">
        <v>2839</v>
      </c>
      <c r="L28" s="6"/>
      <c r="M28" s="6" t="s">
        <v>4279</v>
      </c>
      <c r="N28" s="6">
        <v>50.0980378</v>
      </c>
      <c r="O28" s="6">
        <v>14.4014778</v>
      </c>
      <c r="P28" s="6"/>
      <c r="Q28" s="6"/>
      <c r="R28" s="6"/>
      <c r="S28" s="6"/>
      <c r="T28" s="6"/>
      <c r="U28" s="6"/>
      <c r="V28" s="6"/>
      <c r="W28" s="6"/>
      <c r="X28" s="6"/>
    </row>
    <row r="29" spans="1:36">
      <c r="A29" s="6">
        <v>29</v>
      </c>
      <c r="B29" s="12" t="s">
        <v>4280</v>
      </c>
      <c r="C29" s="6"/>
      <c r="D29" s="6" t="s">
        <v>1018</v>
      </c>
      <c r="E29" s="12" t="s">
        <v>4281</v>
      </c>
      <c r="F29" s="6" t="s">
        <v>4170</v>
      </c>
      <c r="G29" s="6"/>
      <c r="H29" s="67" t="s">
        <v>4282</v>
      </c>
      <c r="I29" s="6" t="s">
        <v>2119</v>
      </c>
      <c r="J29" s="6"/>
      <c r="K29" s="6" t="s">
        <v>2115</v>
      </c>
      <c r="L29" s="6"/>
      <c r="M29" s="6" t="s">
        <v>4283</v>
      </c>
      <c r="N29" s="28">
        <v>49.202823299999999</v>
      </c>
      <c r="O29" s="28">
        <v>16.595511399999999</v>
      </c>
      <c r="P29" s="6"/>
      <c r="Q29" s="6"/>
      <c r="R29" s="6"/>
      <c r="S29" s="6"/>
      <c r="T29" s="6"/>
      <c r="U29" s="6"/>
      <c r="V29" s="6"/>
      <c r="W29" s="6"/>
      <c r="Y29" s="6"/>
      <c r="Z29" s="6"/>
      <c r="AA29" s="6"/>
      <c r="AB29" s="6"/>
      <c r="AC29" s="6"/>
      <c r="AD29" s="6"/>
      <c r="AE29" s="6"/>
      <c r="AF29" s="6"/>
      <c r="AG29" s="6"/>
      <c r="AH29" s="6"/>
      <c r="AI29" s="6"/>
      <c r="AJ29" s="6"/>
    </row>
    <row r="30" spans="1:36">
      <c r="A30" s="6">
        <v>30</v>
      </c>
      <c r="B30" s="6" t="s">
        <v>4284</v>
      </c>
      <c r="C30" s="6"/>
      <c r="D30" s="6" t="s">
        <v>419</v>
      </c>
      <c r="E30" s="12" t="s">
        <v>4285</v>
      </c>
      <c r="F30" s="6" t="s">
        <v>4111</v>
      </c>
      <c r="G30" s="6" t="s">
        <v>4286</v>
      </c>
      <c r="H30" s="6" t="s">
        <v>4287</v>
      </c>
      <c r="I30" s="6" t="s">
        <v>4288</v>
      </c>
      <c r="J30" s="6" t="s">
        <v>4289</v>
      </c>
      <c r="K30" s="12" t="s">
        <v>4115</v>
      </c>
      <c r="L30" s="6"/>
      <c r="M30" s="6" t="s">
        <v>4290</v>
      </c>
      <c r="N30" s="14">
        <v>50.0787689</v>
      </c>
      <c r="O30" s="14">
        <v>14.423423100000001</v>
      </c>
      <c r="P30" s="6"/>
      <c r="Q30" s="6"/>
      <c r="R30" s="6"/>
      <c r="S30" s="6"/>
      <c r="T30" s="6"/>
      <c r="U30" s="6"/>
      <c r="V30" s="6"/>
      <c r="W30" s="6"/>
      <c r="X30" s="6"/>
    </row>
    <row r="31" spans="1:36">
      <c r="A31" s="6">
        <v>31</v>
      </c>
      <c r="B31" s="6" t="s">
        <v>4292</v>
      </c>
      <c r="C31" s="6"/>
      <c r="D31" s="6" t="s">
        <v>1018</v>
      </c>
      <c r="E31" s="12" t="s">
        <v>4293</v>
      </c>
      <c r="F31" s="6" t="s">
        <v>4111</v>
      </c>
      <c r="G31" s="6" t="s">
        <v>4294</v>
      </c>
      <c r="H31" s="6" t="s">
        <v>4295</v>
      </c>
      <c r="I31" s="6" t="s">
        <v>4296</v>
      </c>
      <c r="J31" s="6" t="s">
        <v>4111</v>
      </c>
      <c r="K31" s="12" t="s">
        <v>4115</v>
      </c>
      <c r="L31" s="6"/>
      <c r="M31" s="6" t="s">
        <v>4297</v>
      </c>
      <c r="N31" s="14">
        <v>49.192629199999999</v>
      </c>
      <c r="O31" s="14">
        <v>16.6083219</v>
      </c>
      <c r="P31" s="6"/>
      <c r="Q31" s="6"/>
      <c r="R31" s="6"/>
      <c r="S31" s="6"/>
      <c r="T31" s="6"/>
      <c r="U31" s="6"/>
      <c r="V31" s="6"/>
      <c r="W31" s="6"/>
      <c r="Y31" s="6"/>
      <c r="Z31" s="6"/>
      <c r="AA31" s="6"/>
      <c r="AB31" s="6"/>
      <c r="AC31" s="6"/>
      <c r="AD31" s="6"/>
      <c r="AE31" s="6"/>
      <c r="AF31" s="6"/>
      <c r="AG31" s="6"/>
      <c r="AH31" s="6"/>
      <c r="AI31" s="6"/>
      <c r="AJ31" s="6"/>
    </row>
    <row r="32" spans="1:36">
      <c r="A32" s="6">
        <v>32</v>
      </c>
      <c r="B32" s="6" t="s">
        <v>4298</v>
      </c>
      <c r="C32" s="6"/>
      <c r="D32" s="6" t="s">
        <v>574</v>
      </c>
      <c r="E32" s="12" t="s">
        <v>4299</v>
      </c>
      <c r="F32" s="6" t="s">
        <v>4111</v>
      </c>
      <c r="G32" s="6"/>
      <c r="H32" s="6"/>
      <c r="I32" s="6" t="s">
        <v>4300</v>
      </c>
      <c r="J32" s="6"/>
      <c r="K32" s="12" t="s">
        <v>4115</v>
      </c>
      <c r="L32" s="6"/>
      <c r="M32" s="6" t="s">
        <v>4301</v>
      </c>
      <c r="N32" s="14">
        <v>50.242803100000003</v>
      </c>
      <c r="O32" s="14">
        <v>12.8372633</v>
      </c>
      <c r="P32" s="6"/>
      <c r="Q32" s="6"/>
      <c r="R32" s="6"/>
      <c r="S32" s="6"/>
      <c r="T32" s="6"/>
      <c r="U32" s="6"/>
      <c r="V32" s="6"/>
      <c r="W32" s="6"/>
      <c r="Y32" s="6"/>
      <c r="Z32" s="12" t="s">
        <v>47</v>
      </c>
      <c r="AA32" s="6"/>
      <c r="AB32" s="6"/>
      <c r="AC32" s="6"/>
      <c r="AD32" s="6"/>
      <c r="AE32" s="6"/>
      <c r="AF32" s="6"/>
      <c r="AG32" s="6"/>
      <c r="AH32" s="6"/>
      <c r="AI32" s="6"/>
      <c r="AJ32" s="6"/>
    </row>
    <row r="33" spans="1:36">
      <c r="A33" s="6">
        <v>33</v>
      </c>
      <c r="B33" s="6" t="s">
        <v>4302</v>
      </c>
      <c r="C33" s="6"/>
      <c r="D33" s="6" t="s">
        <v>331</v>
      </c>
      <c r="E33" s="12" t="s">
        <v>4303</v>
      </c>
      <c r="F33" s="6" t="s">
        <v>4111</v>
      </c>
      <c r="G33" s="15" t="s">
        <v>4304</v>
      </c>
      <c r="H33" s="6" t="s">
        <v>4305</v>
      </c>
      <c r="I33" s="6" t="s">
        <v>4306</v>
      </c>
      <c r="J33" s="6" t="s">
        <v>4307</v>
      </c>
      <c r="K33" s="12" t="s">
        <v>4308</v>
      </c>
      <c r="L33" s="6"/>
      <c r="M33" s="6" t="s">
        <v>4309</v>
      </c>
      <c r="N33" s="25">
        <v>49.948329999999999</v>
      </c>
      <c r="O33" s="25">
        <v>15.264805000000001</v>
      </c>
      <c r="P33" s="6"/>
      <c r="Q33" s="6"/>
      <c r="R33" s="6"/>
      <c r="S33" s="6"/>
      <c r="T33" s="6"/>
      <c r="U33" s="6"/>
      <c r="V33" s="6"/>
      <c r="W33" s="6"/>
      <c r="Y33" s="6"/>
      <c r="Z33" s="12"/>
      <c r="AA33" s="6"/>
      <c r="AB33" s="6"/>
      <c r="AC33" s="6"/>
      <c r="AD33" s="6"/>
      <c r="AE33" s="6"/>
      <c r="AF33" s="6"/>
      <c r="AG33" s="6"/>
      <c r="AH33" s="6"/>
      <c r="AI33" s="6"/>
      <c r="AJ33" s="6"/>
    </row>
    <row r="34" spans="1:36">
      <c r="A34" s="6">
        <v>34</v>
      </c>
      <c r="B34" s="6" t="s">
        <v>4310</v>
      </c>
      <c r="C34" s="6" t="s">
        <v>1735</v>
      </c>
      <c r="D34" s="6" t="s">
        <v>59</v>
      </c>
      <c r="E34" s="12" t="s">
        <v>4311</v>
      </c>
      <c r="F34" s="6" t="s">
        <v>4170</v>
      </c>
      <c r="G34" s="6" t="s">
        <v>4312</v>
      </c>
      <c r="H34" s="6"/>
      <c r="I34" s="6" t="s">
        <v>1739</v>
      </c>
      <c r="J34" s="6"/>
      <c r="K34" s="6" t="s">
        <v>1735</v>
      </c>
      <c r="L34" s="6"/>
      <c r="M34" s="6" t="s">
        <v>4313</v>
      </c>
      <c r="N34" s="28">
        <v>50.078964999999997</v>
      </c>
      <c r="O34" s="28">
        <v>14.4372744</v>
      </c>
      <c r="P34" s="6"/>
      <c r="Q34" s="6"/>
      <c r="R34" s="6"/>
      <c r="S34" s="6"/>
      <c r="T34" s="6"/>
      <c r="U34" s="6"/>
      <c r="V34" s="6"/>
      <c r="W34" s="6"/>
      <c r="X34" s="6"/>
    </row>
    <row r="35" spans="1:36">
      <c r="A35" s="6">
        <v>35</v>
      </c>
      <c r="B35" s="6" t="s">
        <v>4314</v>
      </c>
      <c r="C35" s="6" t="s">
        <v>2726</v>
      </c>
      <c r="D35" s="6" t="s">
        <v>3662</v>
      </c>
      <c r="E35" s="12" t="s">
        <v>4315</v>
      </c>
      <c r="F35" s="6" t="s">
        <v>4170</v>
      </c>
      <c r="G35" s="6" t="s">
        <v>4316</v>
      </c>
      <c r="H35" s="6"/>
      <c r="I35" s="6" t="s">
        <v>2729</v>
      </c>
      <c r="J35" s="6" t="s">
        <v>4317</v>
      </c>
      <c r="K35" s="6" t="s">
        <v>2726</v>
      </c>
      <c r="L35" s="6"/>
      <c r="M35" s="6" t="s">
        <v>4318</v>
      </c>
      <c r="N35" s="28">
        <v>49.724282799999997</v>
      </c>
      <c r="O35" s="28">
        <v>18.077562199999999</v>
      </c>
      <c r="P35" s="6"/>
      <c r="Q35" s="6"/>
      <c r="R35" s="6"/>
      <c r="S35" s="6"/>
      <c r="T35" s="6"/>
      <c r="U35" s="6"/>
      <c r="V35" s="6"/>
      <c r="W35" s="6"/>
      <c r="X35" s="6"/>
    </row>
    <row r="36" spans="1:36">
      <c r="A36" s="6">
        <v>36</v>
      </c>
      <c r="B36" s="6" t="s">
        <v>4320</v>
      </c>
      <c r="C36" s="6"/>
      <c r="D36" s="6" t="s">
        <v>419</v>
      </c>
      <c r="E36" s="12" t="s">
        <v>4321</v>
      </c>
      <c r="F36" s="6" t="s">
        <v>4111</v>
      </c>
      <c r="G36" s="15" t="s">
        <v>4323</v>
      </c>
      <c r="H36" s="6" t="s">
        <v>4324</v>
      </c>
      <c r="I36" s="6" t="s">
        <v>4325</v>
      </c>
      <c r="J36" s="6" t="s">
        <v>4326</v>
      </c>
      <c r="K36" s="12" t="s">
        <v>4115</v>
      </c>
      <c r="L36" s="6"/>
      <c r="M36" s="12" t="s">
        <v>4328</v>
      </c>
      <c r="N36" s="18">
        <v>50.077109399999998</v>
      </c>
      <c r="O36" s="9">
        <v>14.4428611</v>
      </c>
      <c r="P36" s="6"/>
      <c r="Q36" s="6"/>
      <c r="R36" s="6"/>
      <c r="S36" s="6"/>
      <c r="T36" s="6"/>
      <c r="U36" s="6"/>
      <c r="V36" s="6"/>
      <c r="W36" s="6"/>
      <c r="X36" s="6"/>
    </row>
    <row r="37" spans="1:36">
      <c r="A37" s="6">
        <v>37</v>
      </c>
      <c r="B37" s="6" t="s">
        <v>4329</v>
      </c>
      <c r="C37" s="12" t="s">
        <v>4330</v>
      </c>
      <c r="D37" s="6" t="s">
        <v>98</v>
      </c>
      <c r="E37" s="9" t="s">
        <v>4331</v>
      </c>
      <c r="F37" s="6" t="s">
        <v>4150</v>
      </c>
      <c r="G37" s="13" t="str">
        <f>HYPERLINK("http://dobre-pivo.cz","http://dobre-pivo.cz")</f>
        <v>http://dobre-pivo.cz</v>
      </c>
      <c r="H37" s="15" t="s">
        <v>4332</v>
      </c>
      <c r="I37" s="67" t="s">
        <v>4333</v>
      </c>
      <c r="J37" s="12" t="s">
        <v>4334</v>
      </c>
      <c r="K37" s="12" t="s">
        <v>4335</v>
      </c>
      <c r="L37" s="6"/>
      <c r="M37" s="6" t="s">
        <v>4336</v>
      </c>
      <c r="N37" s="14">
        <v>49.069559699999999</v>
      </c>
      <c r="O37" s="14">
        <v>17.458804199999999</v>
      </c>
      <c r="P37" s="6"/>
      <c r="Q37" s="6"/>
      <c r="R37" s="6"/>
      <c r="S37" s="6"/>
      <c r="T37" s="6"/>
      <c r="U37" s="6"/>
      <c r="V37" s="6"/>
      <c r="W37" s="6"/>
      <c r="X37" s="6"/>
    </row>
    <row r="38" spans="1:36">
      <c r="A38" s="6">
        <v>38</v>
      </c>
      <c r="B38" s="6" t="s">
        <v>4337</v>
      </c>
      <c r="C38" s="6" t="s">
        <v>3105</v>
      </c>
      <c r="D38" s="6" t="s">
        <v>208</v>
      </c>
      <c r="E38" s="12" t="s">
        <v>4338</v>
      </c>
      <c r="F38" s="6" t="s">
        <v>4170</v>
      </c>
      <c r="G38" s="6"/>
      <c r="H38" s="6" t="s">
        <v>4339</v>
      </c>
      <c r="I38" s="6" t="s">
        <v>3107</v>
      </c>
      <c r="J38" s="6"/>
      <c r="K38" s="6" t="s">
        <v>4340</v>
      </c>
      <c r="L38" s="6"/>
      <c r="M38" s="6" t="s">
        <v>4341</v>
      </c>
      <c r="N38" s="28">
        <v>50.210331400000001</v>
      </c>
      <c r="O38" s="28">
        <v>15.828927200000001</v>
      </c>
      <c r="P38" s="6"/>
      <c r="Q38" s="6"/>
      <c r="R38" s="6"/>
      <c r="S38" s="6"/>
      <c r="T38" s="6"/>
      <c r="U38" s="6"/>
      <c r="V38" s="6"/>
      <c r="W38" s="6"/>
    </row>
    <row r="39" spans="1:36">
      <c r="A39" s="6">
        <v>39</v>
      </c>
      <c r="B39" s="6" t="s">
        <v>4342</v>
      </c>
      <c r="C39" s="6"/>
      <c r="D39" s="6" t="s">
        <v>259</v>
      </c>
      <c r="E39" s="12" t="s">
        <v>4343</v>
      </c>
      <c r="F39" s="6" t="s">
        <v>4111</v>
      </c>
      <c r="G39" s="6"/>
      <c r="H39" s="6" t="s">
        <v>4344</v>
      </c>
      <c r="I39" s="6" t="s">
        <v>4345</v>
      </c>
      <c r="J39" s="6"/>
      <c r="K39" s="12" t="s">
        <v>4115</v>
      </c>
      <c r="L39" s="6"/>
      <c r="M39" s="6" t="s">
        <v>4346</v>
      </c>
      <c r="N39" s="14">
        <v>49.676199400000002</v>
      </c>
      <c r="O39" s="14">
        <v>18.3338869</v>
      </c>
      <c r="P39" s="6"/>
      <c r="Q39" s="6"/>
      <c r="R39" s="6"/>
      <c r="S39" s="6"/>
      <c r="T39" s="6"/>
      <c r="U39" s="6"/>
      <c r="V39" s="6"/>
      <c r="W39" s="6"/>
      <c r="Y39" s="6"/>
      <c r="Z39" s="6"/>
      <c r="AA39" s="6"/>
      <c r="AB39" s="6"/>
      <c r="AC39" s="6"/>
      <c r="AD39" s="6"/>
      <c r="AE39" s="6"/>
      <c r="AF39" s="6"/>
      <c r="AG39" s="6"/>
      <c r="AH39" s="6"/>
      <c r="AI39" s="6"/>
      <c r="AJ39" s="6"/>
    </row>
    <row r="40" spans="1:36">
      <c r="A40" s="6">
        <v>40</v>
      </c>
      <c r="B40" s="6" t="s">
        <v>4347</v>
      </c>
      <c r="C40" s="6"/>
      <c r="D40" s="6" t="s">
        <v>208</v>
      </c>
      <c r="E40" s="12" t="s">
        <v>4348</v>
      </c>
      <c r="F40" s="6" t="s">
        <v>4111</v>
      </c>
      <c r="G40" s="6"/>
      <c r="H40" s="6" t="s">
        <v>4349</v>
      </c>
      <c r="I40" s="6" t="s">
        <v>4350</v>
      </c>
      <c r="J40" s="6" t="s">
        <v>4111</v>
      </c>
      <c r="K40" s="12" t="s">
        <v>4115</v>
      </c>
      <c r="L40" s="6"/>
      <c r="M40" s="6" t="s">
        <v>4351</v>
      </c>
      <c r="N40" s="14">
        <v>50.194783299999997</v>
      </c>
      <c r="O40" s="14">
        <v>15.8406903</v>
      </c>
      <c r="P40" s="6"/>
      <c r="Q40" s="6"/>
      <c r="R40" s="6"/>
      <c r="S40" s="6"/>
      <c r="T40" s="6"/>
      <c r="U40" s="6"/>
      <c r="V40" s="6"/>
      <c r="W40" s="6"/>
    </row>
    <row r="41" spans="1:36">
      <c r="A41" s="6">
        <v>41</v>
      </c>
      <c r="B41" s="6" t="s">
        <v>4352</v>
      </c>
      <c r="C41" s="6" t="s">
        <v>4353</v>
      </c>
      <c r="D41" s="6" t="s">
        <v>1018</v>
      </c>
      <c r="E41" s="12" t="s">
        <v>4354</v>
      </c>
      <c r="F41" s="6" t="s">
        <v>4150</v>
      </c>
      <c r="G41" s="6" t="s">
        <v>4355</v>
      </c>
      <c r="H41" s="6" t="s">
        <v>4356</v>
      </c>
      <c r="I41" s="6" t="s">
        <v>4357</v>
      </c>
      <c r="J41" s="6" t="s">
        <v>4358</v>
      </c>
      <c r="K41" s="12" t="s">
        <v>4359</v>
      </c>
      <c r="L41" s="6"/>
      <c r="M41" s="6" t="s">
        <v>4360</v>
      </c>
      <c r="N41" s="14">
        <v>49.190071699999997</v>
      </c>
      <c r="O41" s="14">
        <v>16.583003099999999</v>
      </c>
      <c r="P41" s="6"/>
      <c r="Q41" s="6"/>
      <c r="R41" s="6"/>
      <c r="S41" s="6"/>
      <c r="T41" s="6"/>
      <c r="U41" s="6"/>
      <c r="V41" s="6"/>
      <c r="W41" s="6"/>
    </row>
    <row r="42" spans="1:36">
      <c r="A42" s="6">
        <v>42</v>
      </c>
      <c r="B42" s="6" t="s">
        <v>4361</v>
      </c>
      <c r="C42" s="6"/>
      <c r="D42" s="6" t="s">
        <v>256</v>
      </c>
      <c r="E42" s="12" t="s">
        <v>4362</v>
      </c>
      <c r="F42" s="6" t="s">
        <v>4111</v>
      </c>
      <c r="G42" s="6" t="s">
        <v>4363</v>
      </c>
      <c r="H42" s="6" t="s">
        <v>4364</v>
      </c>
      <c r="I42" s="6" t="s">
        <v>4365</v>
      </c>
      <c r="J42" s="6"/>
      <c r="K42" s="12" t="s">
        <v>4115</v>
      </c>
      <c r="L42" s="6"/>
      <c r="M42" s="6" t="s">
        <v>4366</v>
      </c>
      <c r="N42" s="14">
        <v>48.755156100000001</v>
      </c>
      <c r="O42" s="14">
        <v>16.8898242</v>
      </c>
      <c r="P42" s="6"/>
      <c r="Q42" s="6"/>
      <c r="R42" s="6"/>
      <c r="S42" s="6"/>
      <c r="T42" s="6"/>
      <c r="U42" s="6"/>
      <c r="V42" s="6"/>
      <c r="W42" s="6"/>
      <c r="Z42" s="9" t="s">
        <v>47</v>
      </c>
    </row>
    <row r="43" spans="1:36">
      <c r="A43" s="6">
        <v>43</v>
      </c>
      <c r="B43" s="6" t="s">
        <v>124</v>
      </c>
      <c r="C43" s="6" t="s">
        <v>125</v>
      </c>
      <c r="D43" s="6" t="s">
        <v>126</v>
      </c>
      <c r="E43" s="12" t="s">
        <v>127</v>
      </c>
      <c r="F43" s="6" t="s">
        <v>4170</v>
      </c>
      <c r="G43" s="6" t="s">
        <v>128</v>
      </c>
      <c r="H43" s="6" t="s">
        <v>129</v>
      </c>
      <c r="I43" s="6" t="s">
        <v>130</v>
      </c>
      <c r="J43" s="6"/>
      <c r="K43" s="6" t="s">
        <v>125</v>
      </c>
      <c r="L43" s="6"/>
      <c r="M43" s="6" t="s">
        <v>131</v>
      </c>
      <c r="N43" s="28">
        <v>49.743404200000001</v>
      </c>
      <c r="O43" s="28">
        <v>18.6241725</v>
      </c>
      <c r="P43" s="6"/>
      <c r="Q43" s="6"/>
      <c r="R43" s="6"/>
      <c r="S43" s="6"/>
      <c r="T43" s="6"/>
      <c r="U43" s="6"/>
      <c r="V43" s="6"/>
      <c r="W43" s="6"/>
    </row>
    <row r="44" spans="1:36">
      <c r="A44" s="6">
        <v>44</v>
      </c>
      <c r="B44" s="6" t="s">
        <v>4367</v>
      </c>
      <c r="C44" s="6" t="s">
        <v>4368</v>
      </c>
      <c r="D44" s="6" t="s">
        <v>59</v>
      </c>
      <c r="E44" s="12" t="s">
        <v>4369</v>
      </c>
      <c r="F44" s="6" t="s">
        <v>4150</v>
      </c>
      <c r="G44" s="6" t="s">
        <v>4370</v>
      </c>
      <c r="H44" s="6" t="s">
        <v>4371</v>
      </c>
      <c r="I44" s="6" t="s">
        <v>4372</v>
      </c>
      <c r="J44" s="6" t="s">
        <v>4373</v>
      </c>
      <c r="K44" s="6" t="s">
        <v>4368</v>
      </c>
      <c r="L44" s="6"/>
      <c r="M44" s="6" t="s">
        <v>4374</v>
      </c>
      <c r="N44" s="28">
        <v>50.068107500000004</v>
      </c>
      <c r="O44" s="28">
        <v>14.436245</v>
      </c>
      <c r="P44" s="6"/>
      <c r="Q44" s="6"/>
      <c r="R44" s="6"/>
      <c r="S44" s="6"/>
      <c r="T44" s="6"/>
      <c r="U44" s="6"/>
      <c r="V44" s="6"/>
      <c r="W44" s="6"/>
      <c r="X44" s="6"/>
    </row>
    <row r="45" spans="1:36">
      <c r="A45" s="6">
        <v>45</v>
      </c>
      <c r="B45" s="6" t="s">
        <v>4375</v>
      </c>
      <c r="C45" s="6"/>
      <c r="D45" s="6" t="s">
        <v>892</v>
      </c>
      <c r="E45" s="12" t="s">
        <v>4376</v>
      </c>
      <c r="F45" s="6" t="s">
        <v>4111</v>
      </c>
      <c r="G45" s="15" t="s">
        <v>4377</v>
      </c>
      <c r="H45" s="6" t="s">
        <v>4379</v>
      </c>
      <c r="I45" s="6" t="s">
        <v>4380</v>
      </c>
      <c r="J45" s="6" t="s">
        <v>4111</v>
      </c>
      <c r="K45" s="12" t="s">
        <v>4115</v>
      </c>
      <c r="L45" s="6"/>
      <c r="M45" s="6" t="s">
        <v>4381</v>
      </c>
      <c r="N45" s="25">
        <v>49.207458899999999</v>
      </c>
      <c r="O45" s="25">
        <v>16.694759999999999</v>
      </c>
      <c r="P45" s="6"/>
      <c r="Q45" s="6"/>
      <c r="R45" s="6"/>
      <c r="S45" s="6"/>
      <c r="T45" s="6"/>
      <c r="U45" s="6"/>
      <c r="V45" s="6"/>
      <c r="W45" s="6"/>
      <c r="Y45" s="6"/>
      <c r="Z45" s="6"/>
      <c r="AA45" s="6"/>
      <c r="AB45" s="6"/>
      <c r="AC45" s="6"/>
      <c r="AD45" s="6"/>
      <c r="AE45" s="6"/>
      <c r="AF45" s="6"/>
      <c r="AG45" s="6"/>
      <c r="AH45" s="6"/>
      <c r="AI45" s="6"/>
      <c r="AJ45" s="6"/>
    </row>
    <row r="46" spans="1:36">
      <c r="A46" s="6">
        <v>46</v>
      </c>
      <c r="B46" s="6" t="s">
        <v>397</v>
      </c>
      <c r="C46" s="6" t="s">
        <v>397</v>
      </c>
      <c r="D46" s="6" t="s">
        <v>4382</v>
      </c>
      <c r="E46" s="12" t="s">
        <v>4383</v>
      </c>
      <c r="F46" s="6" t="s">
        <v>4178</v>
      </c>
      <c r="G46" s="6"/>
      <c r="H46" s="6" t="s">
        <v>4385</v>
      </c>
      <c r="I46" s="6" t="s">
        <v>404</v>
      </c>
      <c r="J46" s="6"/>
      <c r="K46" s="6" t="s">
        <v>397</v>
      </c>
      <c r="L46" s="6"/>
      <c r="M46" s="6" t="s">
        <v>4386</v>
      </c>
      <c r="N46" s="6">
        <v>50.071653900000001</v>
      </c>
      <c r="O46" s="6">
        <v>14.461214399999999</v>
      </c>
      <c r="P46" s="6"/>
      <c r="Q46" s="6"/>
      <c r="R46" s="6"/>
      <c r="S46" s="6"/>
      <c r="T46" s="6"/>
      <c r="U46" s="6"/>
      <c r="V46" s="6"/>
      <c r="W46" s="6"/>
      <c r="X46" s="6"/>
    </row>
    <row r="47" spans="1:36">
      <c r="A47" s="6">
        <v>47</v>
      </c>
      <c r="B47" s="6" t="s">
        <v>4387</v>
      </c>
      <c r="C47" s="6" t="s">
        <v>397</v>
      </c>
      <c r="D47" s="6" t="s">
        <v>208</v>
      </c>
      <c r="E47" s="12" t="s">
        <v>4388</v>
      </c>
      <c r="F47" s="6" t="s">
        <v>4178</v>
      </c>
      <c r="G47" s="6" t="s">
        <v>4389</v>
      </c>
      <c r="H47" s="6"/>
      <c r="I47" s="6" t="s">
        <v>404</v>
      </c>
      <c r="J47" s="6"/>
      <c r="K47" s="6" t="s">
        <v>397</v>
      </c>
      <c r="L47" s="6"/>
      <c r="M47" s="6" t="s">
        <v>4390</v>
      </c>
      <c r="N47" s="6">
        <v>50.208026400000001</v>
      </c>
      <c r="O47" s="6">
        <v>15.8322936</v>
      </c>
      <c r="P47" s="6"/>
      <c r="Q47" s="6"/>
      <c r="R47" s="6"/>
      <c r="S47" s="6"/>
      <c r="T47" s="6"/>
      <c r="U47" s="6"/>
      <c r="V47" s="6"/>
      <c r="W47" s="6"/>
    </row>
    <row r="48" spans="1:36">
      <c r="A48" s="6">
        <v>48</v>
      </c>
      <c r="B48" s="6" t="s">
        <v>4393</v>
      </c>
      <c r="C48" s="6" t="s">
        <v>4394</v>
      </c>
      <c r="D48" s="6" t="s">
        <v>1618</v>
      </c>
      <c r="E48" s="12" t="s">
        <v>4395</v>
      </c>
      <c r="F48" s="6" t="s">
        <v>4170</v>
      </c>
      <c r="G48" s="6" t="s">
        <v>4396</v>
      </c>
      <c r="H48" s="6" t="s">
        <v>4397</v>
      </c>
      <c r="I48" s="6" t="s">
        <v>1507</v>
      </c>
      <c r="J48" s="6"/>
      <c r="K48" s="6" t="s">
        <v>1503</v>
      </c>
      <c r="L48" s="6"/>
      <c r="M48" s="6" t="s">
        <v>4398</v>
      </c>
      <c r="N48" s="6">
        <v>49.906806099999997</v>
      </c>
      <c r="O48" s="6">
        <v>18.363083899999999</v>
      </c>
      <c r="P48" s="6"/>
      <c r="Q48" s="6"/>
      <c r="R48" s="6"/>
      <c r="S48" s="6"/>
      <c r="T48" s="6"/>
      <c r="U48" s="6"/>
      <c r="V48" s="6"/>
      <c r="W48" s="6"/>
      <c r="Y48" s="6"/>
      <c r="Z48" s="6"/>
      <c r="AA48" s="6"/>
      <c r="AB48" s="6"/>
      <c r="AC48" s="6"/>
      <c r="AD48" s="6"/>
      <c r="AE48" s="6"/>
      <c r="AF48" s="6"/>
      <c r="AG48" s="6"/>
      <c r="AH48" s="6"/>
      <c r="AI48" s="6"/>
      <c r="AJ48" s="6"/>
    </row>
    <row r="49" spans="1:36">
      <c r="A49" s="6">
        <v>49</v>
      </c>
      <c r="B49" s="6" t="s">
        <v>4399</v>
      </c>
      <c r="C49" s="6"/>
      <c r="D49" s="6" t="s">
        <v>1140</v>
      </c>
      <c r="E49" s="12" t="s">
        <v>4400</v>
      </c>
      <c r="F49" s="6" t="s">
        <v>4111</v>
      </c>
      <c r="G49" s="6" t="s">
        <v>4401</v>
      </c>
      <c r="H49" s="6" t="s">
        <v>4402</v>
      </c>
      <c r="I49" s="6" t="s">
        <v>4403</v>
      </c>
      <c r="J49" s="6"/>
      <c r="K49" s="6" t="s">
        <v>4404</v>
      </c>
      <c r="L49" s="6"/>
      <c r="M49" s="6" t="s">
        <v>4405</v>
      </c>
      <c r="N49" s="68">
        <v>49.748069399999999</v>
      </c>
      <c r="O49" s="68">
        <v>13.3783089</v>
      </c>
      <c r="P49" s="6"/>
      <c r="Q49" s="6"/>
      <c r="R49" s="6"/>
      <c r="S49" s="6"/>
      <c r="T49" s="6"/>
      <c r="U49" s="6"/>
      <c r="V49" s="6"/>
      <c r="W49" s="6"/>
      <c r="X49" s="6"/>
      <c r="Y49" s="6"/>
      <c r="Z49" s="6"/>
      <c r="AA49" s="6"/>
      <c r="AB49" s="6"/>
      <c r="AC49" s="6"/>
      <c r="AD49" s="6"/>
      <c r="AE49" s="6"/>
      <c r="AF49" s="6"/>
      <c r="AG49" s="6"/>
      <c r="AH49" s="6"/>
      <c r="AI49" s="6"/>
      <c r="AJ49" s="6"/>
    </row>
    <row r="50" spans="1:36">
      <c r="A50" s="6">
        <v>51</v>
      </c>
      <c r="B50" s="6" t="s">
        <v>4407</v>
      </c>
      <c r="C50" s="6"/>
      <c r="D50" s="6" t="s">
        <v>419</v>
      </c>
      <c r="E50" s="12" t="s">
        <v>4408</v>
      </c>
      <c r="F50" s="6" t="s">
        <v>4111</v>
      </c>
      <c r="G50" s="6" t="s">
        <v>4409</v>
      </c>
      <c r="H50" s="6" t="s">
        <v>4410</v>
      </c>
      <c r="I50" s="6" t="s">
        <v>4411</v>
      </c>
      <c r="J50" s="6" t="s">
        <v>4412</v>
      </c>
      <c r="K50" s="12" t="s">
        <v>4251</v>
      </c>
      <c r="L50" s="6"/>
      <c r="M50" s="6" t="s">
        <v>4413</v>
      </c>
      <c r="N50" s="14">
        <v>50.091251100000001</v>
      </c>
      <c r="O50" s="14">
        <v>14.4311139</v>
      </c>
      <c r="P50" s="6"/>
      <c r="Q50" s="6"/>
      <c r="R50" s="6"/>
      <c r="S50" s="6"/>
      <c r="T50" s="6"/>
      <c r="U50" s="6"/>
      <c r="V50" s="6"/>
      <c r="W50" s="6"/>
      <c r="X50" s="6"/>
    </row>
    <row r="51" spans="1:36">
      <c r="A51" s="6">
        <v>52</v>
      </c>
      <c r="B51" s="6" t="s">
        <v>4414</v>
      </c>
      <c r="C51" s="6" t="s">
        <v>1469</v>
      </c>
      <c r="D51" s="6" t="s">
        <v>298</v>
      </c>
      <c r="E51" s="12" t="s">
        <v>4415</v>
      </c>
      <c r="F51" s="6" t="s">
        <v>4178</v>
      </c>
      <c r="G51" s="6"/>
      <c r="H51" s="6" t="s">
        <v>4416</v>
      </c>
      <c r="I51" s="6" t="s">
        <v>1473</v>
      </c>
      <c r="J51" s="6"/>
      <c r="K51" s="6" t="s">
        <v>1469</v>
      </c>
      <c r="L51" s="6"/>
      <c r="M51" s="6" t="s">
        <v>4417</v>
      </c>
      <c r="N51" s="6">
        <v>48.966994399999997</v>
      </c>
      <c r="O51" s="6">
        <v>14.4812656</v>
      </c>
      <c r="P51" s="6"/>
      <c r="Q51" s="6"/>
      <c r="R51" s="6"/>
      <c r="S51" s="6"/>
      <c r="T51" s="6"/>
      <c r="U51" s="6"/>
      <c r="V51" s="6"/>
      <c r="W51" s="6"/>
      <c r="Y51" s="6"/>
      <c r="Z51" s="6"/>
      <c r="AA51" s="6"/>
      <c r="AB51" s="6"/>
      <c r="AC51" s="6"/>
      <c r="AD51" s="6"/>
      <c r="AE51" s="6"/>
      <c r="AF51" s="6"/>
      <c r="AG51" s="6"/>
      <c r="AH51" s="6"/>
      <c r="AI51" s="6"/>
      <c r="AJ51" s="6"/>
    </row>
    <row r="52" spans="1:36">
      <c r="A52" s="6">
        <v>53</v>
      </c>
      <c r="B52" s="6" t="s">
        <v>4418</v>
      </c>
      <c r="C52" s="6"/>
      <c r="D52" s="6" t="s">
        <v>1018</v>
      </c>
      <c r="E52" s="12" t="s">
        <v>4419</v>
      </c>
      <c r="F52" s="6" t="s">
        <v>4111</v>
      </c>
      <c r="G52" s="6"/>
      <c r="H52" s="6" t="s">
        <v>4420</v>
      </c>
      <c r="I52" s="6" t="s">
        <v>4421</v>
      </c>
      <c r="J52" s="6"/>
      <c r="K52" s="12" t="s">
        <v>4115</v>
      </c>
      <c r="L52" s="6"/>
      <c r="M52" s="6" t="s">
        <v>4422</v>
      </c>
      <c r="N52" s="14">
        <v>49.2030569</v>
      </c>
      <c r="O52" s="14">
        <v>16.596980599999998</v>
      </c>
      <c r="P52" s="6"/>
      <c r="Q52" s="6"/>
      <c r="R52" s="6"/>
      <c r="S52" s="6"/>
      <c r="T52" s="6"/>
      <c r="U52" s="6"/>
      <c r="V52" s="6"/>
      <c r="W52" s="6"/>
      <c r="Y52" s="6"/>
      <c r="Z52" s="6"/>
      <c r="AA52" s="6"/>
      <c r="AB52" s="6"/>
      <c r="AC52" s="6"/>
      <c r="AD52" s="6"/>
      <c r="AE52" s="6"/>
      <c r="AF52" s="6"/>
      <c r="AG52" s="6"/>
      <c r="AH52" s="6"/>
      <c r="AI52" s="6"/>
      <c r="AJ52" s="6"/>
    </row>
    <row r="53" spans="1:36">
      <c r="A53" s="6">
        <v>54</v>
      </c>
      <c r="B53" s="6" t="s">
        <v>4423</v>
      </c>
      <c r="C53" s="6" t="s">
        <v>4424</v>
      </c>
      <c r="D53" s="6" t="s">
        <v>961</v>
      </c>
      <c r="E53" s="12" t="s">
        <v>4425</v>
      </c>
      <c r="F53" s="6" t="s">
        <v>4178</v>
      </c>
      <c r="G53" s="6" t="s">
        <v>4426</v>
      </c>
      <c r="H53" s="6"/>
      <c r="I53" s="6" t="s">
        <v>1772</v>
      </c>
      <c r="J53" s="6"/>
      <c r="K53" s="6" t="s">
        <v>4424</v>
      </c>
      <c r="L53" s="6"/>
      <c r="M53" s="6" t="s">
        <v>4427</v>
      </c>
      <c r="N53" s="6">
        <v>50.102953599999999</v>
      </c>
      <c r="O53" s="6">
        <v>14.4485864</v>
      </c>
      <c r="P53" s="6"/>
      <c r="Q53" s="6"/>
      <c r="R53" s="6"/>
      <c r="S53" s="6"/>
      <c r="T53" s="6"/>
      <c r="U53" s="6"/>
      <c r="V53" s="6"/>
      <c r="W53" s="6"/>
      <c r="X53" s="6"/>
    </row>
    <row r="54" spans="1:36">
      <c r="A54" s="6">
        <v>55</v>
      </c>
      <c r="B54" s="6" t="s">
        <v>2701</v>
      </c>
      <c r="C54" s="6" t="s">
        <v>2694</v>
      </c>
      <c r="D54" s="6" t="s">
        <v>2696</v>
      </c>
      <c r="E54" s="12" t="s">
        <v>4428</v>
      </c>
      <c r="F54" s="6" t="s">
        <v>4150</v>
      </c>
      <c r="G54" s="15" t="s">
        <v>4429</v>
      </c>
      <c r="H54" s="6" t="s">
        <v>4430</v>
      </c>
      <c r="I54" s="6" t="s">
        <v>2698</v>
      </c>
      <c r="J54" s="6" t="s">
        <v>4111</v>
      </c>
      <c r="K54" s="6" t="s">
        <v>2694</v>
      </c>
      <c r="L54" s="6"/>
      <c r="M54" s="6" t="s">
        <v>4431</v>
      </c>
      <c r="N54" s="14">
        <v>48.882663299999997</v>
      </c>
      <c r="O54" s="14">
        <v>17.5197289</v>
      </c>
      <c r="P54" s="6"/>
      <c r="Q54" s="6"/>
      <c r="R54" s="6"/>
      <c r="S54" s="6"/>
      <c r="T54" s="6"/>
      <c r="U54" s="6"/>
      <c r="V54" s="6"/>
      <c r="W54" s="6"/>
      <c r="X54" s="6"/>
      <c r="Z54" s="9" t="s">
        <v>47</v>
      </c>
    </row>
    <row r="55" spans="1:36">
      <c r="A55" s="6">
        <v>56</v>
      </c>
      <c r="B55" s="6" t="s">
        <v>4432</v>
      </c>
      <c r="C55" s="6" t="s">
        <v>985</v>
      </c>
      <c r="D55" s="6" t="s">
        <v>988</v>
      </c>
      <c r="E55" s="12" t="s">
        <v>4434</v>
      </c>
      <c r="F55" s="6" t="s">
        <v>4170</v>
      </c>
      <c r="G55" s="6" t="s">
        <v>4435</v>
      </c>
      <c r="H55" s="6"/>
      <c r="I55" s="6" t="s">
        <v>990</v>
      </c>
      <c r="J55" s="6"/>
      <c r="K55" s="6" t="s">
        <v>985</v>
      </c>
      <c r="L55" s="6"/>
      <c r="M55" s="6" t="s">
        <v>4436</v>
      </c>
      <c r="N55" s="6">
        <v>48.859273899999998</v>
      </c>
      <c r="O55" s="6">
        <v>17.028296399999999</v>
      </c>
      <c r="P55" s="6"/>
      <c r="Q55" s="6"/>
      <c r="R55" s="6"/>
      <c r="S55" s="6"/>
      <c r="T55" s="6"/>
      <c r="U55" s="6"/>
      <c r="V55" s="6"/>
      <c r="W55" s="6"/>
    </row>
    <row r="56" spans="1:36">
      <c r="A56" s="6">
        <v>57</v>
      </c>
      <c r="B56" s="6" t="s">
        <v>4437</v>
      </c>
      <c r="C56" s="6" t="s">
        <v>2441</v>
      </c>
      <c r="D56" s="6" t="s">
        <v>59</v>
      </c>
      <c r="E56" s="12" t="s">
        <v>4438</v>
      </c>
      <c r="F56" s="6" t="s">
        <v>4150</v>
      </c>
      <c r="G56" s="6"/>
      <c r="H56" s="6" t="s">
        <v>4439</v>
      </c>
      <c r="I56" s="6" t="s">
        <v>2445</v>
      </c>
      <c r="J56" s="6"/>
      <c r="K56" s="6" t="s">
        <v>2441</v>
      </c>
      <c r="L56" s="6"/>
      <c r="M56" s="6" t="s">
        <v>4440</v>
      </c>
      <c r="N56" s="28">
        <v>50.091310800000002</v>
      </c>
      <c r="O56" s="28">
        <v>14.430220800000001</v>
      </c>
      <c r="P56" s="6"/>
      <c r="Q56" s="6"/>
      <c r="R56" s="6"/>
      <c r="S56" s="6"/>
      <c r="T56" s="6"/>
      <c r="U56" s="6"/>
      <c r="V56" s="6"/>
      <c r="W56" s="6"/>
      <c r="X56" s="6"/>
    </row>
    <row r="57" spans="1:36">
      <c r="A57" s="6">
        <v>59</v>
      </c>
      <c r="B57" s="6" t="s">
        <v>4441</v>
      </c>
      <c r="C57" s="6" t="s">
        <v>801</v>
      </c>
      <c r="D57" s="6" t="s">
        <v>586</v>
      </c>
      <c r="E57" s="12" t="s">
        <v>4442</v>
      </c>
      <c r="F57" s="6" t="s">
        <v>4178</v>
      </c>
      <c r="G57" s="6" t="s">
        <v>4443</v>
      </c>
      <c r="H57" s="6" t="s">
        <v>4444</v>
      </c>
      <c r="I57" s="6" t="s">
        <v>804</v>
      </c>
      <c r="J57" s="6"/>
      <c r="K57" s="6" t="s">
        <v>801</v>
      </c>
      <c r="L57" s="6"/>
      <c r="M57" s="6" t="s">
        <v>4445</v>
      </c>
      <c r="N57" s="6">
        <v>50.561408299999997</v>
      </c>
      <c r="O57" s="6">
        <v>15.910482200000001</v>
      </c>
      <c r="P57" s="6"/>
      <c r="Q57" s="6"/>
      <c r="R57" s="6"/>
      <c r="S57" s="6"/>
      <c r="T57" s="6"/>
      <c r="U57" s="6"/>
      <c r="V57" s="6"/>
      <c r="W57" s="6"/>
      <c r="X57" s="6"/>
    </row>
    <row r="58" spans="1:36">
      <c r="A58" s="6">
        <v>61</v>
      </c>
      <c r="B58" s="6" t="s">
        <v>4446</v>
      </c>
      <c r="C58" s="6" t="s">
        <v>304</v>
      </c>
      <c r="D58" s="6" t="s">
        <v>304</v>
      </c>
      <c r="E58" s="12" t="s">
        <v>306</v>
      </c>
      <c r="F58" s="6" t="s">
        <v>4178</v>
      </c>
      <c r="G58" s="6" t="s">
        <v>4447</v>
      </c>
      <c r="H58" s="6" t="s">
        <v>4448</v>
      </c>
      <c r="I58" s="6" t="s">
        <v>307</v>
      </c>
      <c r="J58" s="6"/>
      <c r="K58" s="6" t="s">
        <v>304</v>
      </c>
      <c r="L58" s="6"/>
      <c r="M58" s="6" t="s">
        <v>4449</v>
      </c>
      <c r="N58" s="6">
        <v>49.415119199999999</v>
      </c>
      <c r="O58" s="6">
        <v>16.5824967</v>
      </c>
      <c r="P58" s="6"/>
      <c r="Q58" s="6"/>
      <c r="R58" s="6"/>
      <c r="S58" s="6"/>
      <c r="T58" s="6"/>
      <c r="U58" s="6"/>
      <c r="V58" s="6"/>
      <c r="W58" s="6"/>
    </row>
    <row r="59" spans="1:36">
      <c r="A59" s="6">
        <v>62</v>
      </c>
      <c r="B59" s="6" t="s">
        <v>4450</v>
      </c>
      <c r="C59" s="6" t="s">
        <v>3176</v>
      </c>
      <c r="D59" s="6" t="s">
        <v>555</v>
      </c>
      <c r="E59" s="12" t="s">
        <v>4451</v>
      </c>
      <c r="F59" s="6" t="s">
        <v>4150</v>
      </c>
      <c r="G59" s="6" t="s">
        <v>4452</v>
      </c>
      <c r="H59" s="6"/>
      <c r="I59" s="6" t="s">
        <v>3178</v>
      </c>
      <c r="J59" s="6"/>
      <c r="K59" s="6" t="s">
        <v>3176</v>
      </c>
      <c r="L59" s="6"/>
      <c r="M59" s="12" t="s">
        <v>4453</v>
      </c>
      <c r="N59" s="69">
        <v>48.854278600000001</v>
      </c>
      <c r="O59" s="69">
        <v>16.0486678</v>
      </c>
      <c r="P59" s="6"/>
      <c r="Q59" s="6"/>
      <c r="R59" s="6"/>
      <c r="S59" s="6"/>
      <c r="T59" s="6"/>
      <c r="U59" s="6"/>
      <c r="V59" s="6"/>
      <c r="W59" s="6"/>
    </row>
    <row r="60" spans="1:36">
      <c r="A60" s="6">
        <v>63</v>
      </c>
      <c r="B60" s="6" t="s">
        <v>4454</v>
      </c>
      <c r="C60" s="6" t="s">
        <v>1843</v>
      </c>
      <c r="D60" s="6" t="s">
        <v>4455</v>
      </c>
      <c r="E60" s="12" t="s">
        <v>4456</v>
      </c>
      <c r="F60" s="6" t="s">
        <v>4170</v>
      </c>
      <c r="G60" s="6"/>
      <c r="H60" s="6" t="s">
        <v>4457</v>
      </c>
      <c r="I60" s="6" t="s">
        <v>1846</v>
      </c>
      <c r="J60" s="6"/>
      <c r="K60" s="6" t="s">
        <v>1843</v>
      </c>
      <c r="L60" s="6"/>
      <c r="M60" s="12" t="s">
        <v>4458</v>
      </c>
      <c r="N60" s="12">
        <v>49.229476900000002</v>
      </c>
      <c r="O60" s="12">
        <v>16.521072499999999</v>
      </c>
      <c r="P60" s="6"/>
      <c r="Q60" s="6"/>
      <c r="R60" s="6"/>
      <c r="S60" s="6"/>
      <c r="T60" s="6"/>
      <c r="U60" s="6"/>
      <c r="V60" s="6"/>
      <c r="W60" s="6"/>
      <c r="Y60" s="6"/>
      <c r="Z60" s="6"/>
      <c r="AA60" s="6"/>
      <c r="AB60" s="6"/>
      <c r="AC60" s="6"/>
      <c r="AD60" s="6"/>
      <c r="AE60" s="6"/>
      <c r="AF60" s="6"/>
      <c r="AG60" s="6"/>
      <c r="AH60" s="6"/>
      <c r="AI60" s="6"/>
      <c r="AJ60" s="6"/>
    </row>
    <row r="61" spans="1:36">
      <c r="A61" s="6">
        <v>64</v>
      </c>
      <c r="B61" s="10" t="s">
        <v>4459</v>
      </c>
      <c r="C61" s="6" t="s">
        <v>968</v>
      </c>
      <c r="D61" s="6" t="s">
        <v>4460</v>
      </c>
      <c r="E61" s="12" t="s">
        <v>4461</v>
      </c>
      <c r="F61" s="6" t="s">
        <v>4111</v>
      </c>
      <c r="G61" s="15" t="s">
        <v>4462</v>
      </c>
      <c r="H61" s="6" t="s">
        <v>4463</v>
      </c>
      <c r="I61" s="6" t="s">
        <v>4464</v>
      </c>
      <c r="J61" s="6"/>
      <c r="K61" s="6" t="s">
        <v>4465</v>
      </c>
      <c r="L61" s="6"/>
      <c r="M61" s="6" t="s">
        <v>4466</v>
      </c>
      <c r="N61" s="14">
        <v>50.141139199999998</v>
      </c>
      <c r="O61" s="14">
        <v>14.432517199999999</v>
      </c>
      <c r="P61" s="6"/>
      <c r="Q61" s="6"/>
      <c r="R61" s="6"/>
      <c r="S61" s="6"/>
      <c r="T61" s="6"/>
      <c r="U61" s="6"/>
      <c r="V61" s="6"/>
      <c r="W61" s="6"/>
      <c r="X61" s="6"/>
    </row>
    <row r="62" spans="1:36">
      <c r="A62" s="6">
        <v>65</v>
      </c>
      <c r="B62" s="6" t="s">
        <v>4467</v>
      </c>
      <c r="C62" s="6" t="s">
        <v>214</v>
      </c>
      <c r="D62" s="6" t="s">
        <v>214</v>
      </c>
      <c r="E62" s="12" t="s">
        <v>4468</v>
      </c>
      <c r="F62" s="6" t="s">
        <v>4170</v>
      </c>
      <c r="G62" s="6"/>
      <c r="H62" s="6" t="s">
        <v>4469</v>
      </c>
      <c r="I62" s="6" t="s">
        <v>219</v>
      </c>
      <c r="J62" s="6"/>
      <c r="K62" s="6" t="s">
        <v>214</v>
      </c>
      <c r="L62" s="6"/>
      <c r="M62" s="6" t="s">
        <v>4470</v>
      </c>
      <c r="N62" s="28">
        <v>49.476294199999998</v>
      </c>
      <c r="O62" s="28">
        <v>18.044156099999999</v>
      </c>
      <c r="P62" s="6"/>
      <c r="Q62" s="6"/>
      <c r="R62" s="6"/>
      <c r="S62" s="6"/>
      <c r="T62" s="6"/>
      <c r="U62" s="6"/>
      <c r="V62" s="6"/>
      <c r="W62" s="6"/>
    </row>
    <row r="63" spans="1:36">
      <c r="A63" s="6">
        <v>66</v>
      </c>
      <c r="B63" s="6" t="s">
        <v>4471</v>
      </c>
      <c r="C63" s="6"/>
      <c r="D63" s="6" t="s">
        <v>419</v>
      </c>
      <c r="E63" s="12" t="s">
        <v>4472</v>
      </c>
      <c r="F63" s="6" t="s">
        <v>4111</v>
      </c>
      <c r="G63" s="6" t="s">
        <v>4473</v>
      </c>
      <c r="H63" s="6" t="s">
        <v>4474</v>
      </c>
      <c r="I63" s="6" t="s">
        <v>4475</v>
      </c>
      <c r="J63" s="6" t="s">
        <v>118</v>
      </c>
      <c r="K63" s="12" t="s">
        <v>4115</v>
      </c>
      <c r="L63" s="6"/>
      <c r="M63" s="6" t="s">
        <v>4476</v>
      </c>
      <c r="N63" s="14">
        <v>50.0783919</v>
      </c>
      <c r="O63" s="14">
        <v>14.4269</v>
      </c>
      <c r="P63" s="6"/>
      <c r="Q63" s="6"/>
      <c r="R63" s="6"/>
      <c r="S63" s="6"/>
      <c r="T63" s="6"/>
      <c r="U63" s="6"/>
      <c r="V63" s="6"/>
      <c r="W63" s="6"/>
      <c r="X63" s="6"/>
    </row>
    <row r="64" spans="1:36">
      <c r="A64" s="6">
        <v>67</v>
      </c>
      <c r="B64" s="6" t="s">
        <v>4477</v>
      </c>
      <c r="C64" s="6" t="s">
        <v>3592</v>
      </c>
      <c r="D64" s="6" t="s">
        <v>1018</v>
      </c>
      <c r="E64" s="12" t="s">
        <v>4478</v>
      </c>
      <c r="F64" s="6" t="s">
        <v>4150</v>
      </c>
      <c r="G64" s="6"/>
      <c r="H64" s="6" t="s">
        <v>4479</v>
      </c>
      <c r="I64" s="6" t="s">
        <v>3594</v>
      </c>
      <c r="J64" s="6" t="s">
        <v>4111</v>
      </c>
      <c r="K64" s="6" t="s">
        <v>3592</v>
      </c>
      <c r="L64" s="6"/>
      <c r="M64" s="6" t="s">
        <v>4480</v>
      </c>
      <c r="N64" s="28">
        <v>49.2005622</v>
      </c>
      <c r="O64" s="28">
        <v>16.596065299999999</v>
      </c>
      <c r="P64" s="6"/>
      <c r="Q64" s="6"/>
      <c r="R64" s="6"/>
      <c r="S64" s="6"/>
      <c r="T64" s="6"/>
      <c r="U64" s="6"/>
      <c r="V64" s="6"/>
      <c r="W64" s="6"/>
    </row>
    <row r="65" spans="1:36">
      <c r="A65" s="6">
        <v>68</v>
      </c>
      <c r="B65" s="8" t="s">
        <v>4481</v>
      </c>
      <c r="C65" s="6"/>
      <c r="D65" s="6" t="s">
        <v>4482</v>
      </c>
      <c r="E65" s="12" t="s">
        <v>4483</v>
      </c>
      <c r="F65" s="6" t="s">
        <v>4111</v>
      </c>
      <c r="G65" s="15" t="s">
        <v>4484</v>
      </c>
      <c r="H65" s="6" t="s">
        <v>4485</v>
      </c>
      <c r="I65" s="6" t="s">
        <v>4486</v>
      </c>
      <c r="J65" s="6" t="s">
        <v>4487</v>
      </c>
      <c r="K65" s="12" t="s">
        <v>4488</v>
      </c>
      <c r="L65" s="6"/>
      <c r="M65" s="6" t="s">
        <v>4489</v>
      </c>
      <c r="N65" s="14">
        <v>49.188470299999999</v>
      </c>
      <c r="O65" s="14">
        <v>16.534628099999999</v>
      </c>
      <c r="P65" s="6"/>
      <c r="Q65" s="6"/>
      <c r="R65" s="6"/>
      <c r="S65" s="6"/>
      <c r="T65" s="6"/>
      <c r="U65" s="6"/>
      <c r="V65" s="6"/>
      <c r="W65" s="6"/>
      <c r="Y65" s="6"/>
      <c r="Z65" s="6"/>
      <c r="AA65" s="6"/>
      <c r="AB65" s="6"/>
      <c r="AC65" s="6"/>
      <c r="AD65" s="6"/>
      <c r="AE65" s="6"/>
      <c r="AF65" s="6"/>
      <c r="AG65" s="6"/>
      <c r="AH65" s="6"/>
      <c r="AI65" s="6"/>
      <c r="AJ65" s="6"/>
    </row>
    <row r="66" spans="1:36">
      <c r="A66" s="6">
        <v>69</v>
      </c>
      <c r="B66" s="6" t="s">
        <v>4491</v>
      </c>
      <c r="C66" s="6" t="s">
        <v>3641</v>
      </c>
      <c r="D66" s="6" t="s">
        <v>1140</v>
      </c>
      <c r="E66" s="12" t="s">
        <v>3643</v>
      </c>
      <c r="F66" s="6" t="s">
        <v>4170</v>
      </c>
      <c r="G66" s="6" t="s">
        <v>4492</v>
      </c>
      <c r="H66" s="6" t="s">
        <v>4493</v>
      </c>
      <c r="I66" s="6" t="s">
        <v>3644</v>
      </c>
      <c r="J66" s="6"/>
      <c r="K66" s="6" t="s">
        <v>3641</v>
      </c>
      <c r="L66" s="6"/>
      <c r="M66" s="6" t="s">
        <v>4494</v>
      </c>
      <c r="N66" s="28">
        <v>49.750356099999998</v>
      </c>
      <c r="O66" s="28">
        <v>13.3653367</v>
      </c>
      <c r="P66" s="6"/>
      <c r="Q66" s="6"/>
      <c r="R66" s="6"/>
      <c r="S66" s="6"/>
      <c r="T66" s="6"/>
      <c r="U66" s="6"/>
      <c r="V66" s="6"/>
      <c r="W66" s="6"/>
      <c r="X66" s="6"/>
    </row>
    <row r="67" spans="1:36">
      <c r="A67" s="6">
        <v>70</v>
      </c>
      <c r="B67" s="6" t="s">
        <v>4496</v>
      </c>
      <c r="C67" s="6" t="s">
        <v>2591</v>
      </c>
      <c r="D67" s="6" t="s">
        <v>2593</v>
      </c>
      <c r="E67" s="12" t="s">
        <v>4498</v>
      </c>
      <c r="F67" s="6" t="s">
        <v>4150</v>
      </c>
      <c r="G67" s="6" t="s">
        <v>4499</v>
      </c>
      <c r="H67" s="6"/>
      <c r="I67" s="6" t="s">
        <v>2595</v>
      </c>
      <c r="J67" s="6"/>
      <c r="K67" s="6" t="s">
        <v>2591</v>
      </c>
      <c r="L67" s="6"/>
      <c r="M67" s="6" t="s">
        <v>4500</v>
      </c>
      <c r="N67" s="28">
        <v>49.763063299999999</v>
      </c>
      <c r="O67" s="28">
        <v>18.238115799999999</v>
      </c>
      <c r="P67" s="6"/>
      <c r="Q67" s="6"/>
      <c r="R67" s="6"/>
      <c r="S67" s="6"/>
      <c r="T67" s="6"/>
      <c r="U67" s="6"/>
      <c r="V67" s="6"/>
      <c r="W67" s="6"/>
    </row>
    <row r="68" spans="1:36">
      <c r="A68" s="6">
        <v>71</v>
      </c>
      <c r="B68" s="6" t="s">
        <v>4501</v>
      </c>
      <c r="C68" s="6" t="s">
        <v>3065</v>
      </c>
      <c r="D68" s="6" t="s">
        <v>3067</v>
      </c>
      <c r="E68" s="12" t="s">
        <v>4502</v>
      </c>
      <c r="F68" s="6" t="s">
        <v>4170</v>
      </c>
      <c r="G68" s="6" t="s">
        <v>4503</v>
      </c>
      <c r="H68" s="6" t="s">
        <v>4504</v>
      </c>
      <c r="I68" s="6" t="s">
        <v>3069</v>
      </c>
      <c r="J68" s="6"/>
      <c r="K68" s="6" t="s">
        <v>3065</v>
      </c>
      <c r="L68" s="6"/>
      <c r="M68" s="6" t="s">
        <v>4505</v>
      </c>
      <c r="N68" s="6">
        <v>49.090130799999997</v>
      </c>
      <c r="O68" s="6">
        <v>16.6146578</v>
      </c>
      <c r="P68" s="6"/>
      <c r="Q68" s="6"/>
      <c r="R68" s="6"/>
      <c r="S68" s="6"/>
      <c r="T68" s="6"/>
      <c r="U68" s="6"/>
      <c r="V68" s="6"/>
      <c r="W68" s="6"/>
      <c r="X68" s="6"/>
    </row>
    <row r="69" spans="1:36">
      <c r="A69" s="6">
        <v>72</v>
      </c>
      <c r="B69" s="10" t="s">
        <v>4506</v>
      </c>
      <c r="C69" s="6"/>
      <c r="D69" s="6" t="s">
        <v>1140</v>
      </c>
      <c r="E69" s="12" t="s">
        <v>4507</v>
      </c>
      <c r="F69" s="6" t="s">
        <v>4111</v>
      </c>
      <c r="G69" s="6" t="s">
        <v>4508</v>
      </c>
      <c r="H69" s="6"/>
      <c r="I69" s="6" t="s">
        <v>4509</v>
      </c>
      <c r="J69" s="6" t="s">
        <v>118</v>
      </c>
      <c r="K69" s="12" t="s">
        <v>4115</v>
      </c>
      <c r="L69" s="6"/>
      <c r="M69" s="6" t="s">
        <v>4510</v>
      </c>
      <c r="N69" s="14">
        <v>49.745328100000002</v>
      </c>
      <c r="O69" s="14">
        <v>13.3865228</v>
      </c>
      <c r="P69" s="6"/>
      <c r="Q69" s="6"/>
      <c r="R69" s="6"/>
      <c r="S69" s="6"/>
      <c r="T69" s="6"/>
      <c r="U69" s="6"/>
      <c r="V69" s="6"/>
      <c r="W69" s="6"/>
      <c r="X69" s="6"/>
      <c r="Y69" s="6"/>
      <c r="Z69" s="6"/>
      <c r="AA69" s="6"/>
      <c r="AB69" s="6"/>
      <c r="AC69" s="6"/>
      <c r="AD69" s="6"/>
      <c r="AE69" s="6"/>
      <c r="AF69" s="6"/>
      <c r="AG69" s="6"/>
      <c r="AH69" s="6"/>
      <c r="AI69" s="6"/>
      <c r="AJ69" s="6"/>
    </row>
    <row r="70" spans="1:36">
      <c r="A70" s="6">
        <v>73</v>
      </c>
      <c r="B70" s="6" t="s">
        <v>4506</v>
      </c>
      <c r="C70" s="6"/>
      <c r="D70" s="6" t="s">
        <v>298</v>
      </c>
      <c r="E70" s="12" t="s">
        <v>4511</v>
      </c>
      <c r="F70" s="6" t="s">
        <v>4111</v>
      </c>
      <c r="G70" s="6" t="s">
        <v>4512</v>
      </c>
      <c r="H70" s="6" t="s">
        <v>4513</v>
      </c>
      <c r="I70" s="6" t="s">
        <v>4514</v>
      </c>
      <c r="J70" s="6" t="s">
        <v>4111</v>
      </c>
      <c r="K70" s="12" t="s">
        <v>4115</v>
      </c>
      <c r="L70" s="6"/>
      <c r="M70" s="6" t="s">
        <v>4515</v>
      </c>
      <c r="N70" s="14">
        <v>48.982759199999997</v>
      </c>
      <c r="O70" s="14">
        <v>14.454968600000001</v>
      </c>
      <c r="P70" s="6"/>
      <c r="Q70" s="6"/>
      <c r="R70" s="6"/>
      <c r="S70" s="6"/>
      <c r="T70" s="6"/>
      <c r="U70" s="6"/>
      <c r="V70" s="6"/>
      <c r="W70" s="6"/>
      <c r="Y70" s="6"/>
      <c r="Z70" s="6"/>
      <c r="AA70" s="6"/>
      <c r="AB70" s="6"/>
      <c r="AC70" s="6"/>
      <c r="AD70" s="6"/>
      <c r="AE70" s="6"/>
      <c r="AF70" s="6"/>
      <c r="AG70" s="6"/>
      <c r="AH70" s="6"/>
      <c r="AI70" s="6"/>
      <c r="AJ70" s="6"/>
    </row>
    <row r="71" spans="1:36">
      <c r="A71" s="6">
        <v>74</v>
      </c>
      <c r="B71" s="6" t="s">
        <v>4516</v>
      </c>
      <c r="C71" s="6" t="s">
        <v>2525</v>
      </c>
      <c r="D71" s="12" t="s">
        <v>4517</v>
      </c>
      <c r="E71" s="12" t="s">
        <v>4518</v>
      </c>
      <c r="F71" s="6" t="s">
        <v>4150</v>
      </c>
      <c r="G71" s="6"/>
      <c r="H71" s="6" t="s">
        <v>4519</v>
      </c>
      <c r="I71" s="6" t="s">
        <v>2530</v>
      </c>
      <c r="J71" s="6"/>
      <c r="K71" s="6" t="s">
        <v>2525</v>
      </c>
      <c r="L71" s="6"/>
      <c r="M71" s="6" t="s">
        <v>4520</v>
      </c>
      <c r="N71" s="28">
        <v>50.055802499999999</v>
      </c>
      <c r="O71" s="28">
        <v>14.4511819</v>
      </c>
      <c r="P71" s="6"/>
      <c r="Q71" s="6"/>
      <c r="R71" s="6"/>
      <c r="S71" s="6"/>
      <c r="T71" s="6"/>
      <c r="U71" s="6"/>
      <c r="V71" s="6"/>
      <c r="W71" s="6"/>
      <c r="X71" s="6"/>
    </row>
    <row r="72" spans="1:36">
      <c r="A72" s="6">
        <v>75</v>
      </c>
      <c r="B72" s="6" t="s">
        <v>4521</v>
      </c>
      <c r="C72" s="6" t="s">
        <v>1214</v>
      </c>
      <c r="D72" s="6" t="s">
        <v>961</v>
      </c>
      <c r="E72" s="12" t="s">
        <v>4522</v>
      </c>
      <c r="F72" s="6" t="s">
        <v>4178</v>
      </c>
      <c r="G72" s="6" t="s">
        <v>4523</v>
      </c>
      <c r="H72" s="6" t="s">
        <v>4524</v>
      </c>
      <c r="I72" s="6" t="s">
        <v>1218</v>
      </c>
      <c r="J72" s="6"/>
      <c r="K72" s="6" t="s">
        <v>1214</v>
      </c>
      <c r="L72" s="6"/>
      <c r="M72" s="6" t="s">
        <v>4525</v>
      </c>
      <c r="N72" s="6">
        <v>50.101266099999997</v>
      </c>
      <c r="O72" s="6">
        <v>14.4444947</v>
      </c>
      <c r="P72" s="6"/>
      <c r="Q72" s="6"/>
      <c r="R72" s="6"/>
      <c r="S72" s="6"/>
      <c r="T72" s="6"/>
      <c r="U72" s="6"/>
      <c r="V72" s="6"/>
      <c r="W72" s="6"/>
      <c r="X72" s="6"/>
    </row>
    <row r="73" spans="1:36">
      <c r="A73" s="6">
        <v>76</v>
      </c>
      <c r="B73" s="6" t="s">
        <v>4526</v>
      </c>
      <c r="C73" s="6" t="s">
        <v>1214</v>
      </c>
      <c r="D73" s="6" t="s">
        <v>4517</v>
      </c>
      <c r="E73" s="12" t="s">
        <v>4527</v>
      </c>
      <c r="F73" s="6" t="s">
        <v>4178</v>
      </c>
      <c r="G73" s="6" t="s">
        <v>4528</v>
      </c>
      <c r="H73" s="6" t="s">
        <v>4524</v>
      </c>
      <c r="I73" s="6" t="s">
        <v>1218</v>
      </c>
      <c r="J73" s="6"/>
      <c r="K73" s="6" t="s">
        <v>1214</v>
      </c>
      <c r="L73" s="6"/>
      <c r="M73" s="6" t="s">
        <v>4529</v>
      </c>
      <c r="N73" s="6">
        <v>50.045200000000001</v>
      </c>
      <c r="O73" s="6">
        <v>14.449199999999999</v>
      </c>
      <c r="P73" s="6"/>
      <c r="Q73" s="6"/>
      <c r="R73" s="6"/>
      <c r="S73" s="6"/>
      <c r="T73" s="6"/>
      <c r="U73" s="6"/>
      <c r="V73" s="6"/>
      <c r="W73" s="6"/>
      <c r="X73" s="6"/>
    </row>
    <row r="74" spans="1:36">
      <c r="A74" s="6">
        <v>77</v>
      </c>
      <c r="B74" s="6" t="s">
        <v>4530</v>
      </c>
      <c r="C74" s="6" t="s">
        <v>1214</v>
      </c>
      <c r="D74" s="6" t="s">
        <v>419</v>
      </c>
      <c r="E74" s="12" t="s">
        <v>4531</v>
      </c>
      <c r="F74" s="6" t="s">
        <v>4178</v>
      </c>
      <c r="G74" s="6" t="s">
        <v>4532</v>
      </c>
      <c r="H74" s="6" t="s">
        <v>4524</v>
      </c>
      <c r="I74" s="6" t="s">
        <v>1218</v>
      </c>
      <c r="J74" s="6"/>
      <c r="K74" s="6" t="s">
        <v>1214</v>
      </c>
      <c r="L74" s="6"/>
      <c r="M74" s="6" t="s">
        <v>4533</v>
      </c>
      <c r="N74" s="6">
        <v>50.087852499999997</v>
      </c>
      <c r="O74" s="6">
        <v>14.4300269</v>
      </c>
      <c r="P74" s="6"/>
      <c r="Q74" s="6"/>
      <c r="R74" s="6"/>
      <c r="S74" s="6"/>
      <c r="T74" s="6"/>
      <c r="U74" s="6"/>
      <c r="V74" s="6"/>
      <c r="W74" s="6"/>
      <c r="X74" s="6"/>
    </row>
    <row r="75" spans="1:36">
      <c r="A75" s="6">
        <v>79</v>
      </c>
      <c r="B75" s="6" t="s">
        <v>4534</v>
      </c>
      <c r="C75" s="6" t="s">
        <v>1214</v>
      </c>
      <c r="D75" s="6" t="s">
        <v>4069</v>
      </c>
      <c r="E75" s="12" t="s">
        <v>4535</v>
      </c>
      <c r="F75" s="6" t="s">
        <v>4178</v>
      </c>
      <c r="G75" s="6" t="s">
        <v>4536</v>
      </c>
      <c r="H75" s="6" t="s">
        <v>4524</v>
      </c>
      <c r="I75" s="6" t="s">
        <v>1218</v>
      </c>
      <c r="J75" s="6"/>
      <c r="K75" s="6" t="s">
        <v>1214</v>
      </c>
      <c r="L75" s="6"/>
      <c r="M75" s="6" t="s">
        <v>4538</v>
      </c>
      <c r="N75" s="6">
        <v>50.081128100000001</v>
      </c>
      <c r="O75" s="6">
        <v>14.4066189</v>
      </c>
      <c r="P75" s="6"/>
      <c r="Q75" s="6"/>
      <c r="R75" s="6"/>
      <c r="S75" s="6"/>
      <c r="T75" s="6"/>
      <c r="U75" s="6"/>
      <c r="V75" s="6"/>
      <c r="W75" s="6"/>
      <c r="X75" s="6"/>
    </row>
    <row r="76" spans="1:36">
      <c r="A76" s="6">
        <v>80</v>
      </c>
      <c r="B76" s="6" t="s">
        <v>4539</v>
      </c>
      <c r="C76" s="6" t="s">
        <v>1214</v>
      </c>
      <c r="D76" s="6" t="s">
        <v>419</v>
      </c>
      <c r="E76" s="12" t="s">
        <v>4540</v>
      </c>
      <c r="F76" s="6" t="s">
        <v>4178</v>
      </c>
      <c r="G76" s="6" t="s">
        <v>4541</v>
      </c>
      <c r="H76" s="6" t="s">
        <v>4524</v>
      </c>
      <c r="I76" s="6" t="s">
        <v>1218</v>
      </c>
      <c r="J76" s="6"/>
      <c r="K76" s="6" t="s">
        <v>1214</v>
      </c>
      <c r="L76" s="6"/>
      <c r="M76" s="6" t="s">
        <v>4542</v>
      </c>
      <c r="N76" s="6">
        <v>50.084946100000003</v>
      </c>
      <c r="O76" s="6">
        <v>14.424906699999999</v>
      </c>
      <c r="P76" s="6"/>
      <c r="Q76" s="6"/>
      <c r="R76" s="6"/>
      <c r="S76" s="6"/>
      <c r="T76" s="6"/>
      <c r="U76" s="6"/>
      <c r="V76" s="6"/>
      <c r="W76" s="6"/>
      <c r="X76" s="6"/>
    </row>
    <row r="77" spans="1:36">
      <c r="A77" s="6">
        <v>81</v>
      </c>
      <c r="B77" s="6" t="s">
        <v>4543</v>
      </c>
      <c r="C77" s="6" t="s">
        <v>1214</v>
      </c>
      <c r="D77" s="6" t="s">
        <v>2434</v>
      </c>
      <c r="E77" s="12" t="s">
        <v>4544</v>
      </c>
      <c r="F77" s="6" t="s">
        <v>4178</v>
      </c>
      <c r="G77" s="6" t="s">
        <v>4545</v>
      </c>
      <c r="H77" s="6" t="s">
        <v>4524</v>
      </c>
      <c r="I77" s="6" t="s">
        <v>1218</v>
      </c>
      <c r="J77" s="6"/>
      <c r="K77" s="6" t="s">
        <v>1214</v>
      </c>
      <c r="L77" s="6"/>
      <c r="M77" s="6" t="s">
        <v>4546</v>
      </c>
      <c r="N77" s="6">
        <v>50.047301400000002</v>
      </c>
      <c r="O77" s="6">
        <v>14.3061411</v>
      </c>
      <c r="P77" s="6"/>
      <c r="Q77" s="6"/>
      <c r="R77" s="6"/>
      <c r="S77" s="6"/>
      <c r="T77" s="6"/>
      <c r="U77" s="6"/>
      <c r="V77" s="6"/>
      <c r="W77" s="6"/>
      <c r="X77" s="6"/>
    </row>
    <row r="78" spans="1:36">
      <c r="A78" s="6">
        <v>82</v>
      </c>
      <c r="B78" s="6" t="s">
        <v>4547</v>
      </c>
      <c r="C78" s="6" t="s">
        <v>2839</v>
      </c>
      <c r="D78" s="6" t="s">
        <v>4548</v>
      </c>
      <c r="E78" s="12" t="s">
        <v>4549</v>
      </c>
      <c r="F78" s="6" t="s">
        <v>4170</v>
      </c>
      <c r="G78" s="6" t="s">
        <v>4550</v>
      </c>
      <c r="H78" s="6" t="s">
        <v>4551</v>
      </c>
      <c r="I78" s="6" t="s">
        <v>2842</v>
      </c>
      <c r="J78" s="6"/>
      <c r="K78" s="6" t="s">
        <v>2839</v>
      </c>
      <c r="L78" s="6"/>
      <c r="M78" s="6" t="s">
        <v>4552</v>
      </c>
      <c r="N78" s="6">
        <v>50.205902500000001</v>
      </c>
      <c r="O78" s="6">
        <v>15.292875799999999</v>
      </c>
      <c r="P78" s="6"/>
      <c r="Q78" s="6"/>
      <c r="R78" s="6"/>
      <c r="S78" s="6"/>
      <c r="T78" s="6"/>
      <c r="U78" s="6"/>
      <c r="V78" s="6"/>
      <c r="W78" s="6"/>
      <c r="Y78" s="6"/>
      <c r="Z78" s="6"/>
      <c r="AA78" s="6"/>
      <c r="AB78" s="6"/>
      <c r="AC78" s="6"/>
      <c r="AD78" s="6"/>
      <c r="AE78" s="6"/>
      <c r="AF78" s="6"/>
      <c r="AG78" s="6"/>
      <c r="AH78" s="6"/>
      <c r="AI78" s="6"/>
      <c r="AJ78" s="6"/>
    </row>
    <row r="79" spans="1:36">
      <c r="A79" s="6">
        <v>83</v>
      </c>
      <c r="B79" s="6" t="s">
        <v>4553</v>
      </c>
      <c r="C79" s="6" t="s">
        <v>4424</v>
      </c>
      <c r="D79" s="6" t="s">
        <v>422</v>
      </c>
      <c r="E79" s="12" t="s">
        <v>4554</v>
      </c>
      <c r="F79" s="6" t="s">
        <v>4178</v>
      </c>
      <c r="G79" s="6" t="s">
        <v>4555</v>
      </c>
      <c r="H79" s="6" t="s">
        <v>4556</v>
      </c>
      <c r="I79" s="6" t="s">
        <v>1772</v>
      </c>
      <c r="J79" s="6"/>
      <c r="K79" s="6" t="s">
        <v>4424</v>
      </c>
      <c r="L79" s="6"/>
      <c r="M79" s="6" t="s">
        <v>4557</v>
      </c>
      <c r="N79" s="6">
        <v>49.206365300000002</v>
      </c>
      <c r="O79" s="6">
        <v>15.8867189</v>
      </c>
      <c r="P79" s="6"/>
      <c r="Q79" s="6"/>
      <c r="R79" s="6"/>
      <c r="S79" s="6"/>
      <c r="T79" s="6"/>
      <c r="U79" s="6"/>
      <c r="V79" s="6"/>
      <c r="W79" s="6"/>
      <c r="X79" s="6"/>
    </row>
    <row r="80" spans="1:36">
      <c r="A80" s="6">
        <v>84</v>
      </c>
      <c r="B80" s="6" t="s">
        <v>4558</v>
      </c>
      <c r="C80" s="6" t="s">
        <v>4424</v>
      </c>
      <c r="D80" s="6" t="s">
        <v>3972</v>
      </c>
      <c r="E80" s="12" t="s">
        <v>4559</v>
      </c>
      <c r="F80" s="6" t="s">
        <v>4178</v>
      </c>
      <c r="G80" s="6" t="s">
        <v>4560</v>
      </c>
      <c r="H80" s="6"/>
      <c r="I80" s="6" t="s">
        <v>1772</v>
      </c>
      <c r="J80" s="6"/>
      <c r="K80" s="6" t="s">
        <v>4424</v>
      </c>
      <c r="L80" s="6"/>
      <c r="M80" s="6" t="s">
        <v>4561</v>
      </c>
      <c r="N80" s="6">
        <v>50.129378099999997</v>
      </c>
      <c r="O80" s="6">
        <v>14.4554128</v>
      </c>
      <c r="P80" s="6"/>
      <c r="Q80" s="6"/>
      <c r="R80" s="6"/>
      <c r="S80" s="6"/>
      <c r="T80" s="6"/>
      <c r="U80" s="6"/>
      <c r="V80" s="6"/>
      <c r="W80" s="6"/>
      <c r="X80" s="6"/>
    </row>
    <row r="81" spans="1:36">
      <c r="A81" s="6">
        <v>85</v>
      </c>
      <c r="B81" s="6" t="s">
        <v>4562</v>
      </c>
      <c r="C81" s="6" t="s">
        <v>4424</v>
      </c>
      <c r="D81" s="6" t="s">
        <v>711</v>
      </c>
      <c r="E81" s="12" t="s">
        <v>4563</v>
      </c>
      <c r="F81" s="6" t="s">
        <v>4178</v>
      </c>
      <c r="G81" s="6" t="s">
        <v>4564</v>
      </c>
      <c r="H81" s="6" t="s">
        <v>4565</v>
      </c>
      <c r="I81" s="6" t="s">
        <v>1772</v>
      </c>
      <c r="J81" s="6"/>
      <c r="K81" s="6" t="s">
        <v>4424</v>
      </c>
      <c r="L81" s="6"/>
      <c r="M81" s="6" t="s">
        <v>4566</v>
      </c>
      <c r="N81" s="6">
        <v>50.087405599999997</v>
      </c>
      <c r="O81" s="6">
        <v>14.4152881</v>
      </c>
      <c r="P81" s="6"/>
      <c r="Q81" s="6"/>
      <c r="R81" s="6"/>
      <c r="S81" s="6"/>
      <c r="T81" s="6"/>
      <c r="U81" s="6"/>
      <c r="V81" s="6"/>
      <c r="W81" s="6"/>
      <c r="X81" s="6"/>
    </row>
    <row r="82" spans="1:36">
      <c r="A82" s="6">
        <v>86</v>
      </c>
      <c r="B82" s="6" t="s">
        <v>4567</v>
      </c>
      <c r="C82" s="6" t="s">
        <v>4424</v>
      </c>
      <c r="D82" s="6" t="s">
        <v>183</v>
      </c>
      <c r="E82" s="12" t="s">
        <v>4568</v>
      </c>
      <c r="F82" s="6" t="s">
        <v>4178</v>
      </c>
      <c r="G82" s="6" t="s">
        <v>4569</v>
      </c>
      <c r="H82" s="6" t="s">
        <v>4570</v>
      </c>
      <c r="I82" s="6" t="s">
        <v>1772</v>
      </c>
      <c r="J82" s="6"/>
      <c r="K82" s="6" t="s">
        <v>4424</v>
      </c>
      <c r="L82" s="6"/>
      <c r="M82" s="6" t="s">
        <v>4571</v>
      </c>
      <c r="N82" s="6">
        <v>49.964503899999997</v>
      </c>
      <c r="O82" s="6">
        <v>14.076705</v>
      </c>
      <c r="P82" s="6"/>
      <c r="Q82" s="6"/>
      <c r="R82" s="6"/>
      <c r="S82" s="6"/>
      <c r="T82" s="6"/>
      <c r="U82" s="6"/>
      <c r="V82" s="6"/>
      <c r="W82" s="6"/>
    </row>
    <row r="83" spans="1:36">
      <c r="A83" s="6">
        <v>87</v>
      </c>
      <c r="B83" s="6" t="s">
        <v>4572</v>
      </c>
      <c r="C83" s="6" t="s">
        <v>4424</v>
      </c>
      <c r="D83" s="6" t="s">
        <v>4573</v>
      </c>
      <c r="E83" s="12" t="s">
        <v>4574</v>
      </c>
      <c r="F83" s="6" t="s">
        <v>4178</v>
      </c>
      <c r="G83" s="6" t="s">
        <v>4575</v>
      </c>
      <c r="H83" s="6" t="s">
        <v>4576</v>
      </c>
      <c r="I83" s="6" t="s">
        <v>1772</v>
      </c>
      <c r="J83" s="6"/>
      <c r="K83" s="6" t="s">
        <v>4424</v>
      </c>
      <c r="L83" s="6"/>
      <c r="M83" s="6" t="s">
        <v>4577</v>
      </c>
      <c r="N83" s="6">
        <v>49.914548600000003</v>
      </c>
      <c r="O83" s="6">
        <v>15.3880272</v>
      </c>
      <c r="P83" s="6"/>
      <c r="Q83" s="6"/>
      <c r="R83" s="6"/>
      <c r="S83" s="6"/>
      <c r="T83" s="6"/>
      <c r="U83" s="6"/>
      <c r="V83" s="6"/>
      <c r="W83" s="6"/>
      <c r="Y83" s="6"/>
      <c r="Z83" s="6"/>
      <c r="AA83" s="6"/>
      <c r="AB83" s="6"/>
      <c r="AC83" s="6"/>
      <c r="AD83" s="6"/>
      <c r="AE83" s="6"/>
      <c r="AF83" s="6"/>
      <c r="AG83" s="6"/>
      <c r="AH83" s="6"/>
      <c r="AI83" s="6"/>
      <c r="AJ83" s="6"/>
    </row>
    <row r="84" spans="1:36">
      <c r="A84" s="6">
        <v>88</v>
      </c>
      <c r="B84" s="6" t="s">
        <v>4578</v>
      </c>
      <c r="C84" s="6" t="s">
        <v>4424</v>
      </c>
      <c r="D84" s="6" t="s">
        <v>2156</v>
      </c>
      <c r="E84" s="12" t="s">
        <v>4579</v>
      </c>
      <c r="F84" s="6" t="s">
        <v>4178</v>
      </c>
      <c r="G84" s="6" t="s">
        <v>4580</v>
      </c>
      <c r="H84" s="6" t="s">
        <v>4581</v>
      </c>
      <c r="I84" s="6" t="s">
        <v>1772</v>
      </c>
      <c r="J84" s="6"/>
      <c r="K84" s="6" t="s">
        <v>4424</v>
      </c>
      <c r="L84" s="6"/>
      <c r="M84" s="6" t="s">
        <v>4582</v>
      </c>
      <c r="N84" s="6">
        <v>49.227194400000002</v>
      </c>
      <c r="O84" s="6">
        <v>17.665686399999998</v>
      </c>
      <c r="P84" s="6"/>
      <c r="Q84" s="6"/>
      <c r="R84" s="6"/>
      <c r="S84" s="6"/>
      <c r="T84" s="6"/>
      <c r="U84" s="6"/>
      <c r="V84" s="6"/>
      <c r="W84" s="6"/>
    </row>
    <row r="85" spans="1:36">
      <c r="A85" s="6">
        <v>89</v>
      </c>
      <c r="B85" s="6" t="s">
        <v>4583</v>
      </c>
      <c r="C85" s="6" t="s">
        <v>4424</v>
      </c>
      <c r="D85" s="6" t="s">
        <v>4584</v>
      </c>
      <c r="E85" s="12" t="s">
        <v>4585</v>
      </c>
      <c r="F85" s="6" t="s">
        <v>4178</v>
      </c>
      <c r="G85" s="6" t="s">
        <v>4587</v>
      </c>
      <c r="H85" s="6" t="s">
        <v>4588</v>
      </c>
      <c r="I85" s="6" t="s">
        <v>1772</v>
      </c>
      <c r="J85" s="6"/>
      <c r="K85" s="6" t="s">
        <v>4424</v>
      </c>
      <c r="L85" s="6"/>
      <c r="M85" s="6" t="s">
        <v>4589</v>
      </c>
      <c r="N85" s="6">
        <v>49.752342499999997</v>
      </c>
      <c r="O85" s="6">
        <v>13.415413300000001</v>
      </c>
      <c r="P85" s="6"/>
      <c r="Q85" s="6"/>
      <c r="R85" s="6"/>
      <c r="S85" s="6"/>
      <c r="T85" s="6"/>
      <c r="U85" s="6"/>
      <c r="V85" s="6"/>
      <c r="W85" s="6"/>
      <c r="X85" s="6"/>
    </row>
    <row r="86" spans="1:36">
      <c r="A86" s="6">
        <v>90</v>
      </c>
      <c r="B86" s="6" t="s">
        <v>4590</v>
      </c>
      <c r="C86" s="6" t="s">
        <v>4424</v>
      </c>
      <c r="D86" s="6" t="s">
        <v>636</v>
      </c>
      <c r="E86" s="12" t="s">
        <v>4591</v>
      </c>
      <c r="F86" s="6" t="s">
        <v>4178</v>
      </c>
      <c r="G86" s="6" t="s">
        <v>4592</v>
      </c>
      <c r="H86" s="6" t="s">
        <v>4593</v>
      </c>
      <c r="I86" s="6" t="s">
        <v>1772</v>
      </c>
      <c r="J86" s="6"/>
      <c r="K86" s="6" t="s">
        <v>4424</v>
      </c>
      <c r="L86" s="6"/>
      <c r="M86" s="6" t="s">
        <v>4594</v>
      </c>
      <c r="N86" s="6">
        <v>49.394196700000002</v>
      </c>
      <c r="O86" s="6">
        <v>15.575844200000001</v>
      </c>
      <c r="P86" s="6"/>
      <c r="Q86" s="6"/>
      <c r="R86" s="6"/>
      <c r="S86" s="6"/>
      <c r="T86" s="6"/>
      <c r="U86" s="6"/>
      <c r="V86" s="6"/>
      <c r="W86" s="6"/>
    </row>
    <row r="87" spans="1:36">
      <c r="A87" s="6">
        <v>91</v>
      </c>
      <c r="B87" s="6" t="s">
        <v>4595</v>
      </c>
      <c r="C87" s="6" t="s">
        <v>4424</v>
      </c>
      <c r="D87" s="6" t="s">
        <v>1556</v>
      </c>
      <c r="E87" s="12" t="s">
        <v>4596</v>
      </c>
      <c r="F87" s="6" t="s">
        <v>4178</v>
      </c>
      <c r="G87" s="6" t="s">
        <v>4597</v>
      </c>
      <c r="H87" s="6" t="s">
        <v>4598</v>
      </c>
      <c r="I87" s="6" t="s">
        <v>1772</v>
      </c>
      <c r="J87" s="6"/>
      <c r="K87" s="6" t="s">
        <v>4424</v>
      </c>
      <c r="L87" s="6"/>
      <c r="M87" s="6" t="s">
        <v>4599</v>
      </c>
      <c r="N87" s="6">
        <v>50.072482200000003</v>
      </c>
      <c r="O87" s="6">
        <v>14.407399699999999</v>
      </c>
      <c r="P87" s="6"/>
      <c r="Q87" s="6"/>
      <c r="R87" s="6"/>
      <c r="S87" s="6"/>
      <c r="T87" s="6"/>
      <c r="U87" s="6"/>
      <c r="V87" s="6"/>
      <c r="W87" s="6"/>
      <c r="X87" s="6"/>
    </row>
    <row r="88" spans="1:36">
      <c r="A88" s="6">
        <v>92</v>
      </c>
      <c r="B88" s="6" t="s">
        <v>4600</v>
      </c>
      <c r="C88" s="6" t="s">
        <v>4424</v>
      </c>
      <c r="D88" s="6" t="s">
        <v>1034</v>
      </c>
      <c r="E88" s="12" t="s">
        <v>4601</v>
      </c>
      <c r="F88" s="6" t="s">
        <v>4178</v>
      </c>
      <c r="G88" s="6" t="s">
        <v>4602</v>
      </c>
      <c r="H88" s="6" t="s">
        <v>4603</v>
      </c>
      <c r="I88" s="6" t="s">
        <v>1772</v>
      </c>
      <c r="J88" s="6"/>
      <c r="K88" s="6" t="s">
        <v>4424</v>
      </c>
      <c r="L88" s="6"/>
      <c r="M88" s="6" t="s">
        <v>4604</v>
      </c>
      <c r="N88" s="6">
        <v>49.594031899999997</v>
      </c>
      <c r="O88" s="6">
        <v>17.2622958</v>
      </c>
      <c r="P88" s="6"/>
      <c r="Q88" s="6"/>
      <c r="R88" s="6"/>
      <c r="S88" s="6"/>
      <c r="T88" s="6"/>
      <c r="U88" s="6"/>
      <c r="V88" s="6"/>
      <c r="W88" s="6"/>
    </row>
    <row r="89" spans="1:36">
      <c r="A89" s="6">
        <v>93</v>
      </c>
      <c r="B89" s="6" t="s">
        <v>4605</v>
      </c>
      <c r="C89" s="6" t="s">
        <v>4424</v>
      </c>
      <c r="D89" s="6" t="s">
        <v>1254</v>
      </c>
      <c r="E89" s="12" t="s">
        <v>4606</v>
      </c>
      <c r="F89" s="6" t="s">
        <v>4178</v>
      </c>
      <c r="G89" s="6" t="s">
        <v>4607</v>
      </c>
      <c r="H89" s="6" t="s">
        <v>4608</v>
      </c>
      <c r="I89" s="6" t="s">
        <v>1772</v>
      </c>
      <c r="J89" s="6"/>
      <c r="K89" s="6" t="s">
        <v>4424</v>
      </c>
      <c r="L89" s="6"/>
      <c r="M89" s="6" t="s">
        <v>4609</v>
      </c>
      <c r="N89" s="6">
        <v>49.145278599999997</v>
      </c>
      <c r="O89" s="6">
        <v>15.003018600000001</v>
      </c>
      <c r="P89" s="6"/>
      <c r="Q89" s="6"/>
      <c r="R89" s="6"/>
      <c r="S89" s="6"/>
      <c r="T89" s="6"/>
      <c r="U89" s="6"/>
      <c r="V89" s="6"/>
      <c r="W89" s="6"/>
      <c r="Y89" s="6"/>
      <c r="Z89" s="6"/>
      <c r="AA89" s="6"/>
      <c r="AB89" s="6"/>
      <c r="AC89" s="6"/>
      <c r="AD89" s="6"/>
      <c r="AE89" s="6"/>
      <c r="AF89" s="6"/>
      <c r="AG89" s="6"/>
      <c r="AH89" s="6"/>
      <c r="AI89" s="6"/>
      <c r="AJ89" s="6"/>
    </row>
    <row r="90" spans="1:36">
      <c r="A90" s="6">
        <v>94</v>
      </c>
      <c r="B90" s="6" t="s">
        <v>4610</v>
      </c>
      <c r="C90" s="6" t="s">
        <v>4424</v>
      </c>
      <c r="D90" s="6" t="s">
        <v>516</v>
      </c>
      <c r="E90" s="12" t="s">
        <v>4611</v>
      </c>
      <c r="F90" s="6" t="s">
        <v>4178</v>
      </c>
      <c r="G90" s="6" t="s">
        <v>4612</v>
      </c>
      <c r="H90" s="6" t="s">
        <v>4613</v>
      </c>
      <c r="I90" s="6" t="s">
        <v>1772</v>
      </c>
      <c r="J90" s="6"/>
      <c r="K90" s="6" t="s">
        <v>4424</v>
      </c>
      <c r="L90" s="6"/>
      <c r="M90" s="6" t="s">
        <v>4614</v>
      </c>
      <c r="N90" s="6">
        <v>49.939233299999998</v>
      </c>
      <c r="O90" s="6">
        <v>17.904473899999999</v>
      </c>
      <c r="P90" s="6"/>
      <c r="Q90" s="6"/>
      <c r="R90" s="6"/>
      <c r="S90" s="6"/>
      <c r="T90" s="6"/>
      <c r="U90" s="6"/>
      <c r="V90" s="6"/>
      <c r="W90" s="6"/>
    </row>
    <row r="91" spans="1:36">
      <c r="A91" s="6">
        <v>95</v>
      </c>
      <c r="B91" s="6" t="s">
        <v>4615</v>
      </c>
      <c r="C91" s="6" t="s">
        <v>4424</v>
      </c>
      <c r="D91" s="6" t="s">
        <v>176</v>
      </c>
      <c r="E91" s="12" t="s">
        <v>4616</v>
      </c>
      <c r="F91" s="6" t="s">
        <v>4178</v>
      </c>
      <c r="G91" s="15" t="s">
        <v>4617</v>
      </c>
      <c r="H91" s="6" t="s">
        <v>4618</v>
      </c>
      <c r="I91" s="6" t="s">
        <v>1772</v>
      </c>
      <c r="J91" s="6"/>
      <c r="K91" s="6" t="s">
        <v>4424</v>
      </c>
      <c r="L91" s="6"/>
      <c r="M91" s="6" t="s">
        <v>4619</v>
      </c>
      <c r="N91" s="6">
        <v>49.539025799999997</v>
      </c>
      <c r="O91" s="6">
        <v>15.3546467</v>
      </c>
      <c r="P91" s="6"/>
      <c r="Q91" s="6"/>
      <c r="R91" s="6"/>
      <c r="S91" s="6"/>
      <c r="T91" s="6"/>
      <c r="U91" s="6"/>
      <c r="V91" s="6"/>
      <c r="W91" s="6"/>
      <c r="Y91" s="6"/>
      <c r="Z91" s="6"/>
      <c r="AA91" s="6"/>
      <c r="AB91" s="6"/>
      <c r="AC91" s="6"/>
      <c r="AD91" s="6"/>
      <c r="AE91" s="6"/>
      <c r="AF91" s="6"/>
      <c r="AG91" s="6"/>
      <c r="AH91" s="6"/>
      <c r="AI91" s="6"/>
      <c r="AJ91" s="6"/>
    </row>
    <row r="92" spans="1:36">
      <c r="A92" s="6">
        <v>96</v>
      </c>
      <c r="B92" s="6" t="s">
        <v>4620</v>
      </c>
      <c r="C92" s="6" t="s">
        <v>4424</v>
      </c>
      <c r="D92" s="6" t="s">
        <v>195</v>
      </c>
      <c r="E92" s="12" t="s">
        <v>4621</v>
      </c>
      <c r="F92" s="6" t="s">
        <v>4178</v>
      </c>
      <c r="G92" s="6" t="s">
        <v>4622</v>
      </c>
      <c r="H92" s="6" t="s">
        <v>4623</v>
      </c>
      <c r="I92" s="6" t="s">
        <v>1772</v>
      </c>
      <c r="J92" s="6"/>
      <c r="K92" s="6" t="s">
        <v>4424</v>
      </c>
      <c r="L92" s="6"/>
      <c r="M92" s="6" t="s">
        <v>4624</v>
      </c>
      <c r="N92" s="6">
        <v>49.682991700000002</v>
      </c>
      <c r="O92" s="6">
        <v>14.009119399999999</v>
      </c>
      <c r="P92" s="6"/>
      <c r="Q92" s="6"/>
      <c r="R92" s="6"/>
      <c r="S92" s="6"/>
      <c r="T92" s="6"/>
      <c r="U92" s="6"/>
      <c r="V92" s="6"/>
      <c r="W92" s="6"/>
      <c r="X92" s="6"/>
    </row>
    <row r="93" spans="1:36">
      <c r="A93" s="6">
        <v>97</v>
      </c>
      <c r="B93" s="6" t="s">
        <v>4625</v>
      </c>
      <c r="C93" s="6" t="s">
        <v>4424</v>
      </c>
      <c r="D93" s="6" t="s">
        <v>108</v>
      </c>
      <c r="E93" s="12" t="s">
        <v>4626</v>
      </c>
      <c r="F93" s="6" t="s">
        <v>4178</v>
      </c>
      <c r="G93" s="6" t="s">
        <v>4627</v>
      </c>
      <c r="H93" s="6" t="s">
        <v>4628</v>
      </c>
      <c r="I93" s="6" t="s">
        <v>1772</v>
      </c>
      <c r="J93" s="6"/>
      <c r="K93" s="6" t="s">
        <v>4424</v>
      </c>
      <c r="L93" s="6"/>
      <c r="M93" s="6" t="s">
        <v>4629</v>
      </c>
      <c r="N93" s="6">
        <v>50.690024999999999</v>
      </c>
      <c r="O93" s="6">
        <v>14.5261297</v>
      </c>
      <c r="P93" s="6"/>
      <c r="Q93" s="6"/>
      <c r="R93" s="6"/>
      <c r="S93" s="6"/>
      <c r="T93" s="6"/>
      <c r="U93" s="6"/>
      <c r="V93" s="6"/>
      <c r="W93" s="6"/>
      <c r="Y93" s="6"/>
      <c r="Z93" s="6"/>
      <c r="AA93" s="6"/>
      <c r="AB93" s="6"/>
      <c r="AC93" s="6"/>
      <c r="AD93" s="6"/>
      <c r="AE93" s="6"/>
      <c r="AF93" s="6"/>
      <c r="AG93" s="6"/>
      <c r="AH93" s="6"/>
      <c r="AI93" s="6"/>
      <c r="AJ93" s="6"/>
    </row>
    <row r="94" spans="1:36">
      <c r="A94" s="6">
        <v>98</v>
      </c>
      <c r="B94" s="6" t="s">
        <v>4630</v>
      </c>
      <c r="C94" s="6" t="s">
        <v>4424</v>
      </c>
      <c r="D94" s="6" t="s">
        <v>2602</v>
      </c>
      <c r="E94" s="12" t="s">
        <v>4631</v>
      </c>
      <c r="F94" s="6" t="s">
        <v>4178</v>
      </c>
      <c r="G94" s="6" t="s">
        <v>4632</v>
      </c>
      <c r="H94" s="6" t="s">
        <v>4633</v>
      </c>
      <c r="I94" s="6" t="s">
        <v>1772</v>
      </c>
      <c r="J94" s="6"/>
      <c r="K94" s="6" t="s">
        <v>4424</v>
      </c>
      <c r="L94" s="6"/>
      <c r="M94" s="6" t="s">
        <v>4634</v>
      </c>
      <c r="N94" s="6">
        <v>50.0748678</v>
      </c>
      <c r="O94" s="6">
        <v>14.432696099999999</v>
      </c>
      <c r="P94" s="6"/>
      <c r="Q94" s="6"/>
      <c r="R94" s="6"/>
      <c r="S94" s="6"/>
      <c r="T94" s="6"/>
      <c r="U94" s="6"/>
      <c r="V94" s="6"/>
      <c r="W94" s="6"/>
      <c r="X94" s="6"/>
    </row>
    <row r="95" spans="1:36">
      <c r="A95" s="6">
        <v>99</v>
      </c>
      <c r="B95" s="6" t="s">
        <v>4635</v>
      </c>
      <c r="C95" s="6" t="s">
        <v>4424</v>
      </c>
      <c r="D95" s="6" t="s">
        <v>3803</v>
      </c>
      <c r="E95" s="12" t="s">
        <v>4636</v>
      </c>
      <c r="F95" s="6" t="s">
        <v>4178</v>
      </c>
      <c r="G95" s="6" t="s">
        <v>4637</v>
      </c>
      <c r="H95" s="6"/>
      <c r="I95" s="6" t="s">
        <v>1772</v>
      </c>
      <c r="J95" s="6"/>
      <c r="K95" s="6" t="s">
        <v>4424</v>
      </c>
      <c r="L95" s="6"/>
      <c r="M95" s="6" t="s">
        <v>4638</v>
      </c>
      <c r="N95" s="6">
        <v>49.564177800000003</v>
      </c>
      <c r="O95" s="6">
        <v>16.077605599999998</v>
      </c>
      <c r="P95" s="6"/>
      <c r="Q95" s="6"/>
      <c r="R95" s="6"/>
      <c r="S95" s="6"/>
      <c r="T95" s="6"/>
      <c r="U95" s="6"/>
      <c r="V95" s="6"/>
      <c r="W95" s="6"/>
      <c r="Y95" s="6"/>
      <c r="Z95" s="6"/>
      <c r="AA95" s="6"/>
      <c r="AB95" s="6"/>
      <c r="AC95" s="6"/>
      <c r="AD95" s="6"/>
      <c r="AE95" s="6"/>
      <c r="AF95" s="6"/>
      <c r="AG95" s="6"/>
      <c r="AH95" s="6"/>
      <c r="AI95" s="6"/>
      <c r="AJ95" s="6"/>
    </row>
    <row r="96" spans="1:36">
      <c r="A96" s="6">
        <v>100</v>
      </c>
      <c r="B96" s="6" t="s">
        <v>4639</v>
      </c>
      <c r="C96" s="6" t="s">
        <v>4424</v>
      </c>
      <c r="D96" s="6" t="s">
        <v>674</v>
      </c>
      <c r="E96" s="12" t="s">
        <v>4640</v>
      </c>
      <c r="F96" s="6" t="s">
        <v>4178</v>
      </c>
      <c r="G96" s="6" t="s">
        <v>4641</v>
      </c>
      <c r="H96" s="6" t="s">
        <v>4642</v>
      </c>
      <c r="I96" s="6" t="s">
        <v>1772</v>
      </c>
      <c r="J96" s="6"/>
      <c r="K96" s="6" t="s">
        <v>4424</v>
      </c>
      <c r="L96" s="6"/>
      <c r="M96" s="6" t="s">
        <v>4643</v>
      </c>
      <c r="N96" s="6">
        <v>49.412565600000001</v>
      </c>
      <c r="O96" s="6">
        <v>14.6641853</v>
      </c>
      <c r="P96" s="6"/>
      <c r="Q96" s="6"/>
      <c r="R96" s="6"/>
      <c r="S96" s="6"/>
      <c r="T96" s="6"/>
      <c r="U96" s="6"/>
      <c r="V96" s="6"/>
      <c r="W96" s="6"/>
      <c r="X96" s="6"/>
    </row>
    <row r="97" spans="1:36">
      <c r="A97" s="6">
        <v>101</v>
      </c>
      <c r="B97" s="6" t="s">
        <v>4644</v>
      </c>
      <c r="C97" s="6" t="s">
        <v>4424</v>
      </c>
      <c r="D97" s="6" t="s">
        <v>98</v>
      </c>
      <c r="E97" s="12" t="s">
        <v>4645</v>
      </c>
      <c r="F97" s="6" t="s">
        <v>4178</v>
      </c>
      <c r="G97" s="6" t="s">
        <v>4646</v>
      </c>
      <c r="H97" s="6" t="s">
        <v>4647</v>
      </c>
      <c r="I97" s="6" t="s">
        <v>1772</v>
      </c>
      <c r="J97" s="6"/>
      <c r="K97" s="6" t="s">
        <v>4424</v>
      </c>
      <c r="L97" s="6"/>
      <c r="M97" s="6" t="s">
        <v>4648</v>
      </c>
      <c r="N97" s="6">
        <v>49.067539400000001</v>
      </c>
      <c r="O97" s="6">
        <v>17.466073600000001</v>
      </c>
      <c r="P97" s="6"/>
      <c r="Q97" s="6"/>
      <c r="R97" s="6"/>
      <c r="S97" s="6"/>
      <c r="T97" s="6"/>
      <c r="U97" s="6"/>
      <c r="V97" s="6"/>
      <c r="W97" s="6"/>
      <c r="X97" s="6"/>
    </row>
    <row r="98" spans="1:36">
      <c r="A98" s="6">
        <v>102</v>
      </c>
      <c r="B98" s="6" t="s">
        <v>4650</v>
      </c>
      <c r="C98" s="6" t="s">
        <v>4424</v>
      </c>
      <c r="D98" s="6" t="s">
        <v>3935</v>
      </c>
      <c r="E98" s="12" t="s">
        <v>4651</v>
      </c>
      <c r="F98" s="6" t="s">
        <v>4178</v>
      </c>
      <c r="G98" s="6" t="s">
        <v>4652</v>
      </c>
      <c r="H98" s="6" t="s">
        <v>4653</v>
      </c>
      <c r="I98" s="6" t="s">
        <v>1772</v>
      </c>
      <c r="J98" s="6"/>
      <c r="K98" s="6" t="s">
        <v>4424</v>
      </c>
      <c r="L98" s="6"/>
      <c r="M98" s="6" t="s">
        <v>4654</v>
      </c>
      <c r="N98" s="6">
        <v>49.7880897</v>
      </c>
      <c r="O98" s="6">
        <v>18.266994400000002</v>
      </c>
      <c r="P98" s="6"/>
      <c r="Q98" s="6"/>
      <c r="R98" s="6"/>
      <c r="S98" s="6"/>
      <c r="T98" s="6"/>
      <c r="U98" s="6"/>
      <c r="V98" s="6"/>
      <c r="W98" s="6"/>
    </row>
    <row r="99" spans="1:36">
      <c r="A99" s="6">
        <v>103</v>
      </c>
      <c r="B99" s="6" t="s">
        <v>4655</v>
      </c>
      <c r="C99" s="6" t="s">
        <v>4424</v>
      </c>
      <c r="D99" s="6" t="s">
        <v>1040</v>
      </c>
      <c r="E99" s="12" t="s">
        <v>4656</v>
      </c>
      <c r="F99" s="6" t="s">
        <v>4178</v>
      </c>
      <c r="G99" s="6" t="s">
        <v>4657</v>
      </c>
      <c r="H99" s="6" t="s">
        <v>4658</v>
      </c>
      <c r="I99" s="6" t="s">
        <v>1772</v>
      </c>
      <c r="J99" s="6"/>
      <c r="K99" s="6" t="s">
        <v>4424</v>
      </c>
      <c r="L99" s="6"/>
      <c r="M99" s="6" t="s">
        <v>4659</v>
      </c>
      <c r="N99" s="6">
        <v>49.660552199999998</v>
      </c>
      <c r="O99" s="6">
        <v>14.420108600000001</v>
      </c>
      <c r="P99" s="6"/>
      <c r="Q99" s="6"/>
      <c r="R99" s="6"/>
      <c r="S99" s="6"/>
      <c r="T99" s="6"/>
      <c r="U99" s="6"/>
      <c r="V99" s="6"/>
      <c r="W99" s="6"/>
      <c r="X99" s="6"/>
    </row>
    <row r="100" spans="1:36">
      <c r="A100" s="6">
        <v>104</v>
      </c>
      <c r="B100" s="6" t="s">
        <v>4660</v>
      </c>
      <c r="C100" s="6" t="s">
        <v>4424</v>
      </c>
      <c r="D100" s="6" t="s">
        <v>4661</v>
      </c>
      <c r="E100" s="12" t="s">
        <v>4662</v>
      </c>
      <c r="F100" s="6" t="s">
        <v>4178</v>
      </c>
      <c r="G100" s="6" t="s">
        <v>4663</v>
      </c>
      <c r="H100" s="6" t="s">
        <v>4664</v>
      </c>
      <c r="I100" s="6" t="s">
        <v>1772</v>
      </c>
      <c r="J100" s="6"/>
      <c r="K100" s="6" t="s">
        <v>4424</v>
      </c>
      <c r="L100" s="6"/>
      <c r="M100" s="6" t="s">
        <v>4665</v>
      </c>
      <c r="N100" s="6">
        <v>49.331283599999999</v>
      </c>
      <c r="O100" s="6">
        <v>17.568986899999999</v>
      </c>
      <c r="P100" s="6"/>
      <c r="Q100" s="6"/>
      <c r="R100" s="6"/>
      <c r="S100" s="6"/>
      <c r="T100" s="6"/>
      <c r="U100" s="6"/>
      <c r="V100" s="6"/>
      <c r="W100" s="6"/>
    </row>
    <row r="101" spans="1:36">
      <c r="A101" s="6">
        <v>105</v>
      </c>
      <c r="B101" s="6" t="s">
        <v>4666</v>
      </c>
      <c r="C101" s="6" t="s">
        <v>4424</v>
      </c>
      <c r="D101" s="6" t="s">
        <v>4667</v>
      </c>
      <c r="E101" s="12" t="s">
        <v>4668</v>
      </c>
      <c r="F101" s="6" t="s">
        <v>4178</v>
      </c>
      <c r="G101" s="6" t="s">
        <v>4669</v>
      </c>
      <c r="H101" s="6" t="s">
        <v>4670</v>
      </c>
      <c r="I101" s="6" t="s">
        <v>1772</v>
      </c>
      <c r="J101" s="6"/>
      <c r="K101" s="6" t="s">
        <v>4424</v>
      </c>
      <c r="L101" s="6"/>
      <c r="M101" s="6" t="s">
        <v>4671</v>
      </c>
      <c r="N101" s="6">
        <v>49.195937200000003</v>
      </c>
      <c r="O101" s="6">
        <v>16.6494769</v>
      </c>
      <c r="P101" s="6"/>
      <c r="Q101" s="6"/>
      <c r="R101" s="6"/>
      <c r="S101" s="6"/>
      <c r="T101" s="6"/>
      <c r="U101" s="6"/>
      <c r="V101" s="6"/>
      <c r="W101" s="6"/>
    </row>
    <row r="102" spans="1:36">
      <c r="A102" s="6">
        <v>106</v>
      </c>
      <c r="B102" s="6" t="s">
        <v>4672</v>
      </c>
      <c r="C102" s="6" t="s">
        <v>4424</v>
      </c>
      <c r="D102" s="6" t="s">
        <v>711</v>
      </c>
      <c r="E102" s="12" t="s">
        <v>4673</v>
      </c>
      <c r="F102" s="6" t="s">
        <v>4178</v>
      </c>
      <c r="G102" s="6" t="s">
        <v>4674</v>
      </c>
      <c r="H102" s="6" t="s">
        <v>4675</v>
      </c>
      <c r="I102" s="6" t="s">
        <v>1772</v>
      </c>
      <c r="J102" s="6"/>
      <c r="K102" s="6" t="s">
        <v>4424</v>
      </c>
      <c r="L102" s="6"/>
      <c r="M102" s="6" t="s">
        <v>4677</v>
      </c>
      <c r="N102" s="6">
        <v>50.081937799999999</v>
      </c>
      <c r="O102" s="6">
        <v>14.4170181</v>
      </c>
      <c r="P102" s="6"/>
      <c r="Q102" s="6"/>
      <c r="R102" s="6"/>
      <c r="S102" s="6"/>
      <c r="T102" s="6"/>
      <c r="U102" s="6"/>
      <c r="V102" s="6"/>
      <c r="W102" s="6"/>
      <c r="X102" s="6"/>
    </row>
    <row r="103" spans="1:36">
      <c r="A103" s="6">
        <v>107</v>
      </c>
      <c r="B103" s="6" t="s">
        <v>4678</v>
      </c>
      <c r="C103" s="6" t="s">
        <v>4424</v>
      </c>
      <c r="D103" s="6" t="s">
        <v>1346</v>
      </c>
      <c r="E103" s="12" t="s">
        <v>4679</v>
      </c>
      <c r="F103" s="6" t="s">
        <v>4178</v>
      </c>
      <c r="G103" s="6" t="s">
        <v>4680</v>
      </c>
      <c r="H103" s="6" t="s">
        <v>4681</v>
      </c>
      <c r="I103" s="6" t="s">
        <v>1772</v>
      </c>
      <c r="J103" s="6"/>
      <c r="K103" s="6" t="s">
        <v>4424</v>
      </c>
      <c r="L103" s="6"/>
      <c r="M103" s="6" t="s">
        <v>4682</v>
      </c>
      <c r="N103" s="6">
        <v>49.309295300000002</v>
      </c>
      <c r="O103" s="6">
        <v>14.1445814</v>
      </c>
      <c r="P103" s="6"/>
      <c r="Q103" s="6"/>
      <c r="R103" s="6"/>
      <c r="S103" s="6"/>
      <c r="T103" s="6"/>
      <c r="U103" s="6"/>
      <c r="V103" s="6"/>
      <c r="W103" s="6"/>
      <c r="X103" s="6"/>
    </row>
    <row r="104" spans="1:36">
      <c r="A104" s="6">
        <v>108</v>
      </c>
      <c r="B104" s="6" t="s">
        <v>4683</v>
      </c>
      <c r="C104" s="6" t="s">
        <v>4424</v>
      </c>
      <c r="D104" s="6" t="s">
        <v>4014</v>
      </c>
      <c r="E104" s="12" t="s">
        <v>4685</v>
      </c>
      <c r="F104" s="6" t="s">
        <v>4178</v>
      </c>
      <c r="G104" s="6" t="s">
        <v>4686</v>
      </c>
      <c r="H104" s="6" t="s">
        <v>4687</v>
      </c>
      <c r="I104" s="6" t="s">
        <v>1772</v>
      </c>
      <c r="J104" s="6"/>
      <c r="K104" s="6" t="s">
        <v>4424</v>
      </c>
      <c r="L104" s="6"/>
      <c r="M104" s="6" t="s">
        <v>4688</v>
      </c>
      <c r="N104" s="6">
        <v>49.964722799999997</v>
      </c>
      <c r="O104" s="6">
        <v>12.699020000000001</v>
      </c>
      <c r="P104" s="6"/>
      <c r="Q104" s="6"/>
      <c r="R104" s="6"/>
      <c r="S104" s="6"/>
      <c r="T104" s="6"/>
      <c r="U104" s="6"/>
      <c r="V104" s="6"/>
      <c r="W104" s="6"/>
    </row>
    <row r="105" spans="1:36">
      <c r="A105" s="6">
        <v>109</v>
      </c>
      <c r="B105" s="12" t="s">
        <v>4689</v>
      </c>
      <c r="C105" s="6" t="s">
        <v>4424</v>
      </c>
      <c r="D105" s="6" t="s">
        <v>298</v>
      </c>
      <c r="E105" s="12" t="s">
        <v>4690</v>
      </c>
      <c r="F105" s="6" t="s">
        <v>4178</v>
      </c>
      <c r="G105" s="6" t="s">
        <v>4691</v>
      </c>
      <c r="H105" s="6" t="s">
        <v>4692</v>
      </c>
      <c r="I105" s="6" t="s">
        <v>1772</v>
      </c>
      <c r="J105" s="6"/>
      <c r="K105" s="6" t="s">
        <v>4424</v>
      </c>
      <c r="L105" s="6"/>
      <c r="M105" s="6" t="s">
        <v>4693</v>
      </c>
      <c r="N105" s="6">
        <v>48.977833099999998</v>
      </c>
      <c r="O105" s="6">
        <v>14.469924199999999</v>
      </c>
      <c r="P105" s="6"/>
      <c r="Q105" s="6"/>
      <c r="R105" s="6"/>
      <c r="S105" s="6"/>
      <c r="T105" s="6"/>
      <c r="U105" s="6"/>
      <c r="V105" s="6"/>
      <c r="W105" s="6"/>
      <c r="Y105" s="6"/>
      <c r="Z105" s="6"/>
      <c r="AA105" s="6"/>
      <c r="AB105" s="6"/>
      <c r="AC105" s="6"/>
      <c r="AD105" s="6"/>
      <c r="AE105" s="6"/>
      <c r="AF105" s="6"/>
      <c r="AG105" s="6"/>
      <c r="AH105" s="6"/>
      <c r="AI105" s="6"/>
      <c r="AJ105" s="6"/>
    </row>
    <row r="106" spans="1:36">
      <c r="A106" s="6">
        <v>110</v>
      </c>
      <c r="B106" s="6" t="s">
        <v>4694</v>
      </c>
      <c r="C106" s="6" t="s">
        <v>4424</v>
      </c>
      <c r="D106" s="6" t="s">
        <v>429</v>
      </c>
      <c r="E106" s="12" t="s">
        <v>4695</v>
      </c>
      <c r="F106" s="6" t="s">
        <v>4178</v>
      </c>
      <c r="G106" s="6" t="s">
        <v>4696</v>
      </c>
      <c r="H106" s="6"/>
      <c r="I106" s="6" t="s">
        <v>1772</v>
      </c>
      <c r="J106" s="6"/>
      <c r="K106" s="6" t="s">
        <v>4424</v>
      </c>
      <c r="L106" s="6"/>
      <c r="M106" s="6" t="s">
        <v>4697</v>
      </c>
      <c r="N106" s="6">
        <v>49.898570300000003</v>
      </c>
      <c r="O106" s="6">
        <v>18.192583299999999</v>
      </c>
      <c r="P106" s="6"/>
      <c r="Q106" s="6"/>
      <c r="R106" s="6"/>
      <c r="S106" s="6"/>
      <c r="T106" s="6"/>
      <c r="U106" s="6"/>
      <c r="V106" s="6"/>
      <c r="W106" s="6"/>
    </row>
    <row r="107" spans="1:36">
      <c r="A107" s="6">
        <v>111</v>
      </c>
      <c r="B107" s="6" t="s">
        <v>4698</v>
      </c>
      <c r="C107" s="6" t="s">
        <v>4424</v>
      </c>
      <c r="D107" s="6" t="s">
        <v>3469</v>
      </c>
      <c r="E107" s="12" t="s">
        <v>4699</v>
      </c>
      <c r="F107" s="6" t="s">
        <v>4178</v>
      </c>
      <c r="G107" s="6" t="s">
        <v>4700</v>
      </c>
      <c r="H107" s="6" t="s">
        <v>4701</v>
      </c>
      <c r="I107" s="6" t="s">
        <v>1772</v>
      </c>
      <c r="J107" s="6"/>
      <c r="K107" s="6" t="s">
        <v>4424</v>
      </c>
      <c r="L107" s="6"/>
      <c r="M107" s="6" t="s">
        <v>4702</v>
      </c>
      <c r="N107" s="6">
        <v>50.741289199999997</v>
      </c>
      <c r="O107" s="6">
        <v>15.1618031</v>
      </c>
      <c r="P107" s="6"/>
      <c r="Q107" s="6"/>
      <c r="R107" s="6"/>
      <c r="S107" s="6"/>
      <c r="T107" s="6"/>
      <c r="U107" s="6"/>
      <c r="V107" s="6"/>
      <c r="W107" s="6"/>
    </row>
    <row r="108" spans="1:36">
      <c r="A108" s="6">
        <v>112</v>
      </c>
      <c r="B108" s="10" t="s">
        <v>4703</v>
      </c>
      <c r="C108" s="6"/>
      <c r="D108" s="6" t="s">
        <v>4262</v>
      </c>
      <c r="E108" s="12" t="s">
        <v>4704</v>
      </c>
      <c r="F108" s="6" t="s">
        <v>4111</v>
      </c>
      <c r="G108" s="6" t="s">
        <v>4705</v>
      </c>
      <c r="H108" s="6" t="s">
        <v>4706</v>
      </c>
      <c r="I108" s="6" t="s">
        <v>4707</v>
      </c>
      <c r="J108" s="6"/>
      <c r="K108" s="12" t="s">
        <v>4115</v>
      </c>
      <c r="L108" s="6"/>
      <c r="M108" s="6" t="s">
        <v>4708</v>
      </c>
      <c r="N108" s="14">
        <v>50.098271099999998</v>
      </c>
      <c r="O108" s="14">
        <v>14.4064792</v>
      </c>
      <c r="P108" s="6"/>
      <c r="Q108" s="6"/>
      <c r="R108" s="6"/>
      <c r="S108" s="6"/>
      <c r="T108" s="6"/>
      <c r="U108" s="6"/>
      <c r="V108" s="6"/>
      <c r="W108" s="6"/>
      <c r="X108" s="6"/>
      <c r="Z108" s="9" t="s">
        <v>47</v>
      </c>
    </row>
    <row r="109" spans="1:36">
      <c r="A109" s="6">
        <v>114</v>
      </c>
      <c r="B109" s="6" t="s">
        <v>4709</v>
      </c>
      <c r="C109" s="6"/>
      <c r="D109" s="6" t="s">
        <v>419</v>
      </c>
      <c r="E109" s="12" t="s">
        <v>4710</v>
      </c>
      <c r="F109" s="6" t="s">
        <v>4111</v>
      </c>
      <c r="G109" s="6" t="s">
        <v>4711</v>
      </c>
      <c r="H109" s="6" t="s">
        <v>4712</v>
      </c>
      <c r="I109" s="6" t="s">
        <v>4713</v>
      </c>
      <c r="J109" s="6" t="s">
        <v>4111</v>
      </c>
      <c r="K109" s="12" t="s">
        <v>4115</v>
      </c>
      <c r="L109" s="6"/>
      <c r="M109" s="6" t="s">
        <v>4714</v>
      </c>
      <c r="N109" s="14">
        <v>50.073571100000002</v>
      </c>
      <c r="O109" s="14">
        <v>14.4289928</v>
      </c>
      <c r="P109" s="6"/>
      <c r="Q109" s="6"/>
      <c r="R109" s="6"/>
      <c r="S109" s="6"/>
      <c r="T109" s="6"/>
      <c r="U109" s="6"/>
      <c r="V109" s="6"/>
      <c r="W109" s="6"/>
      <c r="X109" s="6"/>
    </row>
    <row r="110" spans="1:36">
      <c r="A110" s="6">
        <v>115</v>
      </c>
      <c r="B110" s="12" t="s">
        <v>110</v>
      </c>
      <c r="C110" s="6"/>
      <c r="D110" s="6" t="s">
        <v>111</v>
      </c>
      <c r="E110" s="12" t="s">
        <v>112</v>
      </c>
      <c r="F110" s="6" t="s">
        <v>4111</v>
      </c>
      <c r="G110" s="6" t="s">
        <v>115</v>
      </c>
      <c r="H110" s="6" t="s">
        <v>116</v>
      </c>
      <c r="I110" s="6" t="s">
        <v>117</v>
      </c>
      <c r="J110" s="6" t="s">
        <v>118</v>
      </c>
      <c r="K110" s="12" t="s">
        <v>4115</v>
      </c>
      <c r="L110" s="6"/>
      <c r="M110" s="6" t="s">
        <v>120</v>
      </c>
      <c r="N110" s="25">
        <v>49.839025800000002</v>
      </c>
      <c r="O110" s="25">
        <v>18.163346399999998</v>
      </c>
      <c r="P110" s="6"/>
      <c r="Q110" s="6"/>
      <c r="R110" s="6"/>
      <c r="S110" s="6"/>
      <c r="T110" s="6"/>
      <c r="U110" s="6"/>
      <c r="V110" s="6"/>
      <c r="W110" s="6"/>
      <c r="Y110" s="6"/>
      <c r="Z110" s="6"/>
      <c r="AA110" s="6"/>
      <c r="AB110" s="6"/>
      <c r="AC110" s="6"/>
      <c r="AD110" s="6"/>
      <c r="AE110" s="6"/>
      <c r="AF110" s="6"/>
      <c r="AG110" s="6"/>
      <c r="AH110" s="6"/>
      <c r="AI110" s="6"/>
      <c r="AJ110" s="6"/>
    </row>
    <row r="111" spans="1:36">
      <c r="A111" s="6">
        <v>116</v>
      </c>
      <c r="B111" s="12" t="s">
        <v>4715</v>
      </c>
      <c r="C111" s="6"/>
      <c r="D111" s="6" t="s">
        <v>123</v>
      </c>
      <c r="E111" s="12" t="s">
        <v>4716</v>
      </c>
      <c r="F111" s="6" t="s">
        <v>4111</v>
      </c>
      <c r="G111" s="6" t="s">
        <v>4717</v>
      </c>
      <c r="H111" s="6" t="s">
        <v>4719</v>
      </c>
      <c r="I111" s="6" t="s">
        <v>4720</v>
      </c>
      <c r="J111" s="6" t="s">
        <v>4721</v>
      </c>
      <c r="K111" s="12" t="s">
        <v>4115</v>
      </c>
      <c r="L111" s="6"/>
      <c r="M111" s="6" t="s">
        <v>4722</v>
      </c>
      <c r="N111" s="28">
        <v>49.8499719</v>
      </c>
      <c r="O111" s="28">
        <v>18.279877500000001</v>
      </c>
      <c r="P111" s="6"/>
      <c r="Q111" s="6"/>
      <c r="R111" s="6"/>
      <c r="S111" s="6"/>
      <c r="T111" s="6"/>
      <c r="U111" s="6"/>
      <c r="V111" s="6"/>
      <c r="W111" s="6"/>
      <c r="Z111" s="9" t="s">
        <v>47</v>
      </c>
    </row>
    <row r="112" spans="1:36">
      <c r="A112" s="6">
        <v>117</v>
      </c>
      <c r="B112" s="6" t="s">
        <v>4723</v>
      </c>
      <c r="C112" s="6"/>
      <c r="D112" s="6" t="s">
        <v>4724</v>
      </c>
      <c r="E112" s="12" t="s">
        <v>4725</v>
      </c>
      <c r="F112" s="6" t="s">
        <v>4111</v>
      </c>
      <c r="G112" s="6"/>
      <c r="H112" s="6" t="s">
        <v>4726</v>
      </c>
      <c r="I112" s="6" t="s">
        <v>4727</v>
      </c>
      <c r="J112" s="6"/>
      <c r="K112" s="12" t="s">
        <v>4115</v>
      </c>
      <c r="L112" s="6"/>
      <c r="M112" s="6" t="s">
        <v>4728</v>
      </c>
      <c r="N112" s="14">
        <v>49.783211700000003</v>
      </c>
      <c r="O112" s="14">
        <v>18.223611900000002</v>
      </c>
      <c r="P112" s="6"/>
      <c r="Q112" s="6"/>
      <c r="R112" s="6"/>
      <c r="S112" s="6"/>
      <c r="T112" s="6"/>
      <c r="U112" s="6"/>
      <c r="V112" s="6"/>
      <c r="W112" s="6"/>
    </row>
    <row r="113" spans="1:36">
      <c r="A113" s="6">
        <v>118</v>
      </c>
      <c r="B113" s="6" t="s">
        <v>4729</v>
      </c>
      <c r="C113" s="6" t="s">
        <v>3309</v>
      </c>
      <c r="D113" s="6" t="s">
        <v>3309</v>
      </c>
      <c r="E113" s="12" t="s">
        <v>4730</v>
      </c>
      <c r="F113" s="6" t="s">
        <v>4170</v>
      </c>
      <c r="G113" s="6"/>
      <c r="H113" s="6" t="s">
        <v>4731</v>
      </c>
      <c r="I113" s="6" t="s">
        <v>3312</v>
      </c>
      <c r="J113" s="6"/>
      <c r="K113" s="6" t="s">
        <v>3309</v>
      </c>
      <c r="L113" s="6"/>
      <c r="M113" s="6" t="s">
        <v>4732</v>
      </c>
      <c r="N113" s="28">
        <v>49.4808539</v>
      </c>
      <c r="O113" s="28">
        <v>17.819905800000001</v>
      </c>
      <c r="P113" s="6"/>
      <c r="Q113" s="6"/>
      <c r="R113" s="6"/>
      <c r="S113" s="6"/>
      <c r="T113" s="6"/>
      <c r="U113" s="6"/>
      <c r="V113" s="6"/>
      <c r="W113" s="6"/>
    </row>
    <row r="114" spans="1:36">
      <c r="A114" s="6">
        <v>119</v>
      </c>
      <c r="B114" s="6" t="s">
        <v>2510</v>
      </c>
      <c r="C114" s="6" t="s">
        <v>2508</v>
      </c>
      <c r="D114" s="12" t="s">
        <v>4733</v>
      </c>
      <c r="E114" s="12" t="s">
        <v>4734</v>
      </c>
      <c r="F114" s="6" t="s">
        <v>4170</v>
      </c>
      <c r="G114" s="6"/>
      <c r="H114" s="6"/>
      <c r="I114" s="6" t="s">
        <v>2512</v>
      </c>
      <c r="J114" s="6"/>
      <c r="K114" s="6" t="s">
        <v>2508</v>
      </c>
      <c r="L114" s="6"/>
      <c r="M114" s="6" t="s">
        <v>4736</v>
      </c>
      <c r="N114" s="28">
        <v>49.173153599999999</v>
      </c>
      <c r="O114" s="28">
        <v>13.635076400000001</v>
      </c>
      <c r="P114" s="6"/>
      <c r="Q114" s="6"/>
      <c r="R114" s="6"/>
      <c r="S114" s="6"/>
      <c r="T114" s="6"/>
      <c r="U114" s="6"/>
      <c r="V114" s="6"/>
      <c r="W114" s="6"/>
      <c r="Y114" s="6"/>
      <c r="Z114" s="6"/>
      <c r="AA114" s="6"/>
      <c r="AB114" s="6"/>
      <c r="AC114" s="6"/>
      <c r="AD114" s="6"/>
      <c r="AE114" s="6"/>
      <c r="AF114" s="6"/>
      <c r="AG114" s="6"/>
      <c r="AH114" s="6"/>
      <c r="AI114" s="6"/>
      <c r="AJ114" s="6"/>
    </row>
    <row r="115" spans="1:36">
      <c r="A115" s="6">
        <v>120</v>
      </c>
      <c r="B115" s="10" t="s">
        <v>4737</v>
      </c>
      <c r="C115" s="6"/>
      <c r="D115" s="6" t="s">
        <v>4738</v>
      </c>
      <c r="E115" s="12" t="s">
        <v>4739</v>
      </c>
      <c r="F115" s="6" t="s">
        <v>4111</v>
      </c>
      <c r="G115" s="15" t="s">
        <v>4740</v>
      </c>
      <c r="H115" s="6" t="s">
        <v>4741</v>
      </c>
      <c r="I115" s="6" t="s">
        <v>4742</v>
      </c>
      <c r="J115" s="6" t="s">
        <v>4743</v>
      </c>
      <c r="K115" s="30" t="s">
        <v>4744</v>
      </c>
      <c r="L115" s="6"/>
      <c r="M115" s="6" t="s">
        <v>4745</v>
      </c>
      <c r="N115" s="14">
        <v>50.090814199999997</v>
      </c>
      <c r="O115" s="14">
        <v>14.418290000000001</v>
      </c>
      <c r="P115" s="6"/>
      <c r="Q115" s="6"/>
      <c r="R115" s="6"/>
      <c r="S115" s="6"/>
      <c r="T115" s="6"/>
      <c r="U115" s="6"/>
      <c r="V115" s="6"/>
      <c r="W115" s="6"/>
      <c r="X115" s="6"/>
    </row>
    <row r="116" spans="1:36">
      <c r="A116" s="6">
        <v>121</v>
      </c>
      <c r="B116" s="10" t="s">
        <v>4746</v>
      </c>
      <c r="C116" s="6"/>
      <c r="D116" s="6" t="s">
        <v>1034</v>
      </c>
      <c r="E116" s="12" t="s">
        <v>4747</v>
      </c>
      <c r="F116" s="6" t="s">
        <v>4111</v>
      </c>
      <c r="G116" s="6"/>
      <c r="H116" s="6" t="s">
        <v>4748</v>
      </c>
      <c r="I116" s="6" t="s">
        <v>4749</v>
      </c>
      <c r="J116" s="6"/>
      <c r="K116" s="12" t="s">
        <v>4115</v>
      </c>
      <c r="L116" s="6"/>
      <c r="M116" s="6" t="s">
        <v>4750</v>
      </c>
      <c r="N116" s="14">
        <v>49.597185000000003</v>
      </c>
      <c r="O116" s="14">
        <v>17.265484699999998</v>
      </c>
      <c r="P116" s="6"/>
      <c r="Q116" s="6"/>
      <c r="R116" s="6"/>
      <c r="S116" s="6"/>
      <c r="T116" s="6"/>
      <c r="U116" s="6"/>
      <c r="V116" s="6"/>
      <c r="W116" s="6"/>
      <c r="Y116" s="6"/>
      <c r="Z116" s="6"/>
      <c r="AA116" s="6"/>
      <c r="AB116" s="6"/>
      <c r="AC116" s="6"/>
      <c r="AD116" s="6"/>
      <c r="AE116" s="6"/>
      <c r="AF116" s="6"/>
      <c r="AG116" s="6"/>
      <c r="AH116" s="6"/>
      <c r="AI116" s="6"/>
      <c r="AJ116" s="6"/>
    </row>
    <row r="117" spans="1:36">
      <c r="A117" s="6">
        <v>122</v>
      </c>
      <c r="B117" s="6" t="s">
        <v>4751</v>
      </c>
      <c r="C117" s="6"/>
      <c r="D117" s="6" t="s">
        <v>2602</v>
      </c>
      <c r="E117" s="12" t="s">
        <v>4752</v>
      </c>
      <c r="F117" s="6" t="s">
        <v>4111</v>
      </c>
      <c r="G117" s="6" t="s">
        <v>4754</v>
      </c>
      <c r="H117" s="6" t="s">
        <v>4755</v>
      </c>
      <c r="I117" s="6" t="s">
        <v>4756</v>
      </c>
      <c r="J117" s="6" t="s">
        <v>4757</v>
      </c>
      <c r="K117" s="12" t="s">
        <v>4115</v>
      </c>
      <c r="L117" s="6"/>
      <c r="M117" s="6" t="s">
        <v>4758</v>
      </c>
      <c r="N117" s="14">
        <v>50.0770208</v>
      </c>
      <c r="O117" s="14">
        <v>14.4535731</v>
      </c>
      <c r="P117" s="6"/>
      <c r="Q117" s="6"/>
      <c r="R117" s="6"/>
      <c r="S117" s="6"/>
      <c r="T117" s="6"/>
      <c r="U117" s="6"/>
      <c r="V117" s="6"/>
      <c r="W117" s="6"/>
      <c r="X117" s="6"/>
    </row>
    <row r="118" spans="1:36">
      <c r="A118" s="6">
        <v>123</v>
      </c>
      <c r="B118" s="6" t="s">
        <v>2141</v>
      </c>
      <c r="C118" s="6" t="s">
        <v>2134</v>
      </c>
      <c r="D118" s="6" t="s">
        <v>1018</v>
      </c>
      <c r="E118" s="12" t="s">
        <v>4759</v>
      </c>
      <c r="F118" s="6" t="s">
        <v>4150</v>
      </c>
      <c r="G118" s="6" t="s">
        <v>4760</v>
      </c>
      <c r="H118" s="6" t="s">
        <v>4761</v>
      </c>
      <c r="I118" s="6" t="s">
        <v>2137</v>
      </c>
      <c r="J118" s="6"/>
      <c r="K118" s="6" t="s">
        <v>2134</v>
      </c>
      <c r="L118" s="6"/>
      <c r="M118" s="6" t="s">
        <v>4762</v>
      </c>
      <c r="N118" s="28">
        <v>49.198895</v>
      </c>
      <c r="O118" s="28">
        <v>16.5911717</v>
      </c>
      <c r="P118" s="6"/>
      <c r="Q118" s="6"/>
      <c r="R118" s="6"/>
      <c r="S118" s="6"/>
      <c r="T118" s="6"/>
      <c r="U118" s="6"/>
      <c r="V118" s="6"/>
      <c r="W118" s="6"/>
      <c r="Z118" s="9" t="s">
        <v>47</v>
      </c>
    </row>
    <row r="119" spans="1:36">
      <c r="A119" s="6">
        <v>124</v>
      </c>
      <c r="B119" s="6" t="s">
        <v>4763</v>
      </c>
      <c r="C119" s="6" t="s">
        <v>4764</v>
      </c>
      <c r="D119" s="6" t="s">
        <v>4765</v>
      </c>
      <c r="E119" s="12" t="s">
        <v>4766</v>
      </c>
      <c r="F119" s="6" t="s">
        <v>4150</v>
      </c>
      <c r="G119" s="6" t="s">
        <v>4767</v>
      </c>
      <c r="H119" s="6" t="s">
        <v>4768</v>
      </c>
      <c r="I119" s="6" t="s">
        <v>4769</v>
      </c>
      <c r="J119" s="6" t="s">
        <v>4770</v>
      </c>
      <c r="K119" s="12" t="s">
        <v>4771</v>
      </c>
      <c r="L119" s="15" t="s">
        <v>4772</v>
      </c>
      <c r="M119" s="6" t="s">
        <v>4773</v>
      </c>
      <c r="N119" s="28">
        <v>50.084646900000003</v>
      </c>
      <c r="O119" s="28">
        <v>14.507640800000001</v>
      </c>
      <c r="P119" s="6"/>
      <c r="Q119" s="6"/>
      <c r="R119" s="6"/>
      <c r="S119" s="6"/>
      <c r="T119" s="6"/>
      <c r="U119" s="6"/>
      <c r="V119" s="6"/>
      <c r="W119" s="6"/>
      <c r="X119" s="6"/>
    </row>
    <row r="120" spans="1:36">
      <c r="A120" s="6">
        <v>125</v>
      </c>
      <c r="B120" s="6" t="s">
        <v>4774</v>
      </c>
      <c r="C120" s="6"/>
      <c r="D120" s="6" t="s">
        <v>218</v>
      </c>
      <c r="E120" s="12" t="s">
        <v>4775</v>
      </c>
      <c r="F120" s="6" t="s">
        <v>4111</v>
      </c>
      <c r="G120" s="6"/>
      <c r="H120" s="6" t="s">
        <v>4776</v>
      </c>
      <c r="I120" s="6" t="s">
        <v>4777</v>
      </c>
      <c r="J120" s="6"/>
      <c r="K120" s="12" t="s">
        <v>4115</v>
      </c>
      <c r="L120" s="6"/>
      <c r="M120" s="6" t="s">
        <v>4778</v>
      </c>
      <c r="N120" s="14">
        <v>49.397090300000002</v>
      </c>
      <c r="O120" s="14">
        <v>13.28819</v>
      </c>
      <c r="P120" s="6"/>
      <c r="Q120" s="6"/>
      <c r="R120" s="6"/>
      <c r="S120" s="6"/>
      <c r="T120" s="6"/>
      <c r="U120" s="6"/>
      <c r="V120" s="6"/>
      <c r="W120" s="6"/>
    </row>
    <row r="121" spans="1:36">
      <c r="A121" s="6">
        <v>126</v>
      </c>
      <c r="B121" s="6" t="s">
        <v>4779</v>
      </c>
      <c r="C121" s="6"/>
      <c r="D121" s="6" t="s">
        <v>208</v>
      </c>
      <c r="E121" s="12" t="s">
        <v>4780</v>
      </c>
      <c r="F121" s="6" t="s">
        <v>4111</v>
      </c>
      <c r="G121" s="6"/>
      <c r="H121" s="6" t="s">
        <v>4781</v>
      </c>
      <c r="I121" s="6" t="s">
        <v>4782</v>
      </c>
      <c r="J121" s="6" t="s">
        <v>4111</v>
      </c>
      <c r="K121" s="12" t="s">
        <v>4115</v>
      </c>
      <c r="L121" s="6"/>
      <c r="M121" s="6" t="s">
        <v>4783</v>
      </c>
      <c r="N121" s="14">
        <v>50.214875300000003</v>
      </c>
      <c r="O121" s="14">
        <v>15.824438900000001</v>
      </c>
      <c r="P121" s="6"/>
      <c r="Q121" s="6"/>
      <c r="R121" s="6"/>
      <c r="S121" s="6"/>
      <c r="T121" s="6"/>
      <c r="U121" s="6"/>
      <c r="V121" s="6"/>
      <c r="W121" s="6"/>
    </row>
    <row r="122" spans="1:36">
      <c r="A122" s="6">
        <v>128</v>
      </c>
      <c r="B122" s="6" t="s">
        <v>4784</v>
      </c>
      <c r="C122" s="6" t="s">
        <v>316</v>
      </c>
      <c r="D122" s="6" t="s">
        <v>316</v>
      </c>
      <c r="E122" s="12" t="s">
        <v>4785</v>
      </c>
      <c r="F122" s="6" t="s">
        <v>4150</v>
      </c>
      <c r="G122" s="6" t="s">
        <v>4786</v>
      </c>
      <c r="H122" s="6" t="s">
        <v>4787</v>
      </c>
      <c r="I122" s="6" t="s">
        <v>980</v>
      </c>
      <c r="J122" s="6"/>
      <c r="K122" s="6" t="s">
        <v>316</v>
      </c>
      <c r="L122" s="6"/>
      <c r="M122" s="6" t="s">
        <v>4788</v>
      </c>
      <c r="N122" s="6">
        <v>49.301315000000002</v>
      </c>
      <c r="O122" s="6">
        <v>17.3894053</v>
      </c>
      <c r="P122" s="6"/>
      <c r="Q122" s="6"/>
      <c r="R122" s="6"/>
      <c r="S122" s="6"/>
      <c r="T122" s="6"/>
      <c r="U122" s="6"/>
      <c r="V122" s="6"/>
      <c r="W122" s="6"/>
    </row>
    <row r="123" spans="1:36">
      <c r="A123" s="6">
        <v>129</v>
      </c>
      <c r="B123" s="6" t="s">
        <v>4789</v>
      </c>
      <c r="C123" s="6" t="s">
        <v>316</v>
      </c>
      <c r="D123" s="6" t="s">
        <v>555</v>
      </c>
      <c r="E123" s="12" t="s">
        <v>4790</v>
      </c>
      <c r="F123" s="6" t="s">
        <v>4170</v>
      </c>
      <c r="G123" s="6" t="s">
        <v>4791</v>
      </c>
      <c r="H123" s="6" t="s">
        <v>4792</v>
      </c>
      <c r="I123" s="6" t="s">
        <v>980</v>
      </c>
      <c r="J123" s="6"/>
      <c r="K123" s="6" t="s">
        <v>316</v>
      </c>
      <c r="L123" s="6"/>
      <c r="M123" s="6" t="s">
        <v>4793</v>
      </c>
      <c r="N123" s="28">
        <v>48.854438899999998</v>
      </c>
      <c r="O123" s="28">
        <v>16.048701399999999</v>
      </c>
      <c r="P123" s="6"/>
      <c r="Q123" s="6"/>
      <c r="R123" s="6"/>
      <c r="S123" s="6"/>
      <c r="T123" s="6"/>
      <c r="U123" s="6"/>
      <c r="V123" s="6"/>
      <c r="W123" s="6"/>
    </row>
    <row r="124" spans="1:36">
      <c r="A124" s="6">
        <v>131</v>
      </c>
      <c r="B124" s="10" t="s">
        <v>4794</v>
      </c>
      <c r="C124" s="6"/>
      <c r="D124" s="6" t="s">
        <v>819</v>
      </c>
      <c r="E124" s="12" t="s">
        <v>4795</v>
      </c>
      <c r="F124" s="6" t="s">
        <v>4111</v>
      </c>
      <c r="G124" s="6"/>
      <c r="H124" s="6" t="s">
        <v>4796</v>
      </c>
      <c r="I124" s="6" t="s">
        <v>4797</v>
      </c>
      <c r="J124" s="6" t="s">
        <v>4111</v>
      </c>
      <c r="K124" s="12" t="s">
        <v>4115</v>
      </c>
      <c r="L124" s="6"/>
      <c r="M124" s="6" t="s">
        <v>4798</v>
      </c>
      <c r="N124" s="14">
        <v>48.851149200000002</v>
      </c>
      <c r="O124" s="14">
        <v>17.1230139</v>
      </c>
      <c r="P124" s="6"/>
      <c r="Q124" s="6"/>
      <c r="R124" s="6"/>
      <c r="S124" s="6"/>
      <c r="T124" s="6"/>
      <c r="U124" s="6"/>
      <c r="V124" s="6"/>
      <c r="W124" s="6"/>
    </row>
    <row r="125" spans="1:36">
      <c r="A125" s="6">
        <v>132</v>
      </c>
      <c r="B125" s="6" t="s">
        <v>4799</v>
      </c>
      <c r="D125" s="6" t="s">
        <v>4800</v>
      </c>
      <c r="E125" s="12" t="s">
        <v>4801</v>
      </c>
      <c r="F125" s="6" t="s">
        <v>4111</v>
      </c>
      <c r="G125" s="10" t="s">
        <v>4802</v>
      </c>
      <c r="I125" t="s">
        <v>4803</v>
      </c>
      <c r="J125" s="6" t="s">
        <v>4111</v>
      </c>
      <c r="K125" s="12" t="s">
        <v>4115</v>
      </c>
      <c r="M125" t="s">
        <v>4804</v>
      </c>
      <c r="N125">
        <v>50.071055800000003</v>
      </c>
      <c r="O125">
        <v>15.8021239</v>
      </c>
      <c r="X125" s="6"/>
    </row>
    <row r="126" spans="1:36">
      <c r="A126" s="6">
        <v>133</v>
      </c>
      <c r="B126" s="6" t="s">
        <v>3698</v>
      </c>
      <c r="C126" s="6"/>
      <c r="D126" s="6" t="s">
        <v>1153</v>
      </c>
      <c r="E126" s="12" t="s">
        <v>4805</v>
      </c>
      <c r="F126" s="6" t="s">
        <v>4111</v>
      </c>
      <c r="G126" s="6" t="s">
        <v>4806</v>
      </c>
      <c r="H126" s="6" t="s">
        <v>4807</v>
      </c>
      <c r="I126" s="6" t="s">
        <v>4808</v>
      </c>
      <c r="J126" s="6" t="s">
        <v>4809</v>
      </c>
      <c r="K126" s="12" t="s">
        <v>4115</v>
      </c>
      <c r="L126" s="6"/>
      <c r="M126" s="6" t="s">
        <v>4810</v>
      </c>
      <c r="N126" s="14">
        <v>49.4576858</v>
      </c>
      <c r="O126" s="14">
        <v>17.450258099999999</v>
      </c>
      <c r="P126" s="6"/>
      <c r="Q126" s="6"/>
      <c r="R126" s="6"/>
      <c r="S126" s="6"/>
      <c r="T126" s="6"/>
      <c r="U126" s="6"/>
      <c r="V126" s="6"/>
      <c r="W126" s="6"/>
      <c r="X126" s="6"/>
      <c r="Y126" s="6"/>
      <c r="Z126" s="6"/>
      <c r="AA126" s="6"/>
      <c r="AB126" s="6"/>
      <c r="AC126" s="6"/>
      <c r="AD126" s="6"/>
      <c r="AE126" s="6"/>
      <c r="AF126" s="6"/>
      <c r="AG126" s="6"/>
      <c r="AH126" s="6"/>
      <c r="AI126" s="6"/>
      <c r="AJ126" s="6"/>
    </row>
    <row r="127" spans="1:36">
      <c r="A127" s="6">
        <v>134</v>
      </c>
      <c r="B127" s="6" t="s">
        <v>4811</v>
      </c>
      <c r="C127" s="6" t="s">
        <v>135</v>
      </c>
      <c r="D127" s="6" t="s">
        <v>564</v>
      </c>
      <c r="E127" s="12" t="s">
        <v>4812</v>
      </c>
      <c r="F127" s="6" t="s">
        <v>4178</v>
      </c>
      <c r="G127" s="6" t="s">
        <v>4813</v>
      </c>
      <c r="H127" s="6" t="s">
        <v>4814</v>
      </c>
      <c r="I127" s="6" t="s">
        <v>142</v>
      </c>
      <c r="J127" s="6"/>
      <c r="K127" s="6" t="s">
        <v>135</v>
      </c>
      <c r="L127" s="6"/>
      <c r="M127" s="6" t="s">
        <v>4816</v>
      </c>
      <c r="N127" s="28">
        <v>49.562389199999998</v>
      </c>
      <c r="O127" s="28">
        <v>15.937431399999999</v>
      </c>
      <c r="P127" s="6"/>
      <c r="Q127" s="6"/>
      <c r="R127" s="6"/>
      <c r="S127" s="6"/>
      <c r="T127" s="6"/>
      <c r="U127" s="6"/>
      <c r="V127" s="6"/>
      <c r="W127" s="6"/>
    </row>
    <row r="128" spans="1:36">
      <c r="A128" s="6">
        <v>135</v>
      </c>
      <c r="B128" s="6" t="s">
        <v>4817</v>
      </c>
      <c r="C128" s="6" t="s">
        <v>3597</v>
      </c>
      <c r="D128" s="6" t="s">
        <v>3599</v>
      </c>
      <c r="E128" s="12" t="s">
        <v>4818</v>
      </c>
      <c r="F128" s="6" t="s">
        <v>4170</v>
      </c>
      <c r="G128" s="6"/>
      <c r="H128" s="6" t="s">
        <v>4819</v>
      </c>
      <c r="I128" s="6" t="s">
        <v>3601</v>
      </c>
      <c r="J128" s="6"/>
      <c r="K128" s="6" t="s">
        <v>3597</v>
      </c>
      <c r="L128" s="6"/>
      <c r="M128" s="6" t="s">
        <v>4820</v>
      </c>
      <c r="N128" s="28">
        <v>49.169708900000003</v>
      </c>
      <c r="O128" s="28">
        <v>14.584674700000001</v>
      </c>
      <c r="P128" s="6"/>
      <c r="Q128" s="6"/>
      <c r="R128" s="6"/>
      <c r="S128" s="6"/>
      <c r="T128" s="6"/>
      <c r="U128" s="6"/>
      <c r="V128" s="6"/>
      <c r="W128" s="6"/>
      <c r="Y128" s="6"/>
      <c r="Z128" s="6"/>
      <c r="AA128" s="6"/>
      <c r="AB128" s="6"/>
      <c r="AC128" s="6"/>
      <c r="AD128" s="6"/>
      <c r="AE128" s="6"/>
      <c r="AF128" s="6"/>
      <c r="AG128" s="6"/>
      <c r="AH128" s="6"/>
      <c r="AI128" s="6"/>
      <c r="AJ128" s="6"/>
    </row>
    <row r="129" spans="1:36">
      <c r="A129" s="6">
        <v>136</v>
      </c>
      <c r="B129" s="6" t="s">
        <v>4821</v>
      </c>
      <c r="C129" s="6" t="s">
        <v>968</v>
      </c>
      <c r="D129" s="6" t="s">
        <v>970</v>
      </c>
      <c r="E129" s="12" t="s">
        <v>4822</v>
      </c>
      <c r="F129" s="6" t="s">
        <v>4170</v>
      </c>
      <c r="G129" s="6"/>
      <c r="H129" s="6"/>
      <c r="I129" s="6" t="s">
        <v>972</v>
      </c>
      <c r="J129" s="6"/>
      <c r="K129" s="6" t="s">
        <v>968</v>
      </c>
      <c r="L129" s="6"/>
      <c r="M129" s="6" t="s">
        <v>4823</v>
      </c>
      <c r="N129" s="28">
        <v>49.953703099999998</v>
      </c>
      <c r="O129" s="28">
        <v>13.8536144</v>
      </c>
      <c r="P129" s="6"/>
      <c r="Q129" s="6"/>
      <c r="R129" s="6"/>
      <c r="S129" s="6"/>
      <c r="T129" s="6"/>
      <c r="U129" s="6"/>
      <c r="V129" s="6"/>
      <c r="W129" s="6"/>
      <c r="Y129" s="6"/>
      <c r="Z129" s="6"/>
      <c r="AA129" s="6"/>
      <c r="AB129" s="6"/>
      <c r="AC129" s="6"/>
      <c r="AD129" s="6"/>
      <c r="AE129" s="6"/>
      <c r="AF129" s="6"/>
      <c r="AG129" s="6"/>
      <c r="AH129" s="6"/>
      <c r="AI129" s="6"/>
      <c r="AJ129" s="6"/>
    </row>
    <row r="130" spans="1:36">
      <c r="A130" s="6">
        <v>137</v>
      </c>
      <c r="B130" s="6" t="s">
        <v>4821</v>
      </c>
      <c r="C130" s="6" t="s">
        <v>3734</v>
      </c>
      <c r="D130" s="6" t="s">
        <v>3736</v>
      </c>
      <c r="E130" s="12" t="s">
        <v>4824</v>
      </c>
      <c r="F130" s="6" t="s">
        <v>4170</v>
      </c>
      <c r="G130" s="6" t="s">
        <v>4825</v>
      </c>
      <c r="H130" s="6"/>
      <c r="I130" s="6" t="s">
        <v>3738</v>
      </c>
      <c r="J130" s="6"/>
      <c r="K130" s="6" t="s">
        <v>3734</v>
      </c>
      <c r="L130" s="6"/>
      <c r="M130" s="6" t="s">
        <v>4826</v>
      </c>
      <c r="N130" s="28">
        <v>49.256696400000003</v>
      </c>
      <c r="O130" s="28">
        <v>16.617294999999999</v>
      </c>
      <c r="P130" s="6"/>
      <c r="Q130" s="6"/>
      <c r="R130" s="6"/>
      <c r="S130" s="6"/>
      <c r="T130" s="6"/>
      <c r="U130" s="6"/>
      <c r="V130" s="6"/>
      <c r="W130" s="6"/>
      <c r="Y130" s="6"/>
      <c r="Z130" s="6"/>
      <c r="AA130" s="6"/>
      <c r="AB130" s="6"/>
      <c r="AC130" s="6"/>
      <c r="AD130" s="6"/>
      <c r="AE130" s="6"/>
      <c r="AF130" s="6"/>
      <c r="AG130" s="6"/>
      <c r="AH130" s="6"/>
      <c r="AI130" s="6"/>
      <c r="AJ130" s="6"/>
    </row>
    <row r="131" spans="1:36">
      <c r="A131" s="6">
        <v>138</v>
      </c>
      <c r="B131" s="6" t="s">
        <v>4827</v>
      </c>
      <c r="C131" s="6" t="s">
        <v>331</v>
      </c>
      <c r="D131" s="6" t="s">
        <v>331</v>
      </c>
      <c r="E131" s="12" t="s">
        <v>4828</v>
      </c>
      <c r="F131" s="6" t="s">
        <v>4178</v>
      </c>
      <c r="G131" s="6" t="s">
        <v>4829</v>
      </c>
      <c r="H131" s="6" t="s">
        <v>4830</v>
      </c>
      <c r="I131" s="6" t="s">
        <v>334</v>
      </c>
      <c r="J131" s="6"/>
      <c r="K131" s="6" t="s">
        <v>331</v>
      </c>
      <c r="L131" s="6"/>
      <c r="M131" s="6" t="s">
        <v>4831</v>
      </c>
      <c r="N131" s="28">
        <v>49.9555808</v>
      </c>
      <c r="O131" s="28">
        <v>15.2703544</v>
      </c>
      <c r="P131" s="6"/>
      <c r="Q131" s="6"/>
      <c r="R131" s="6"/>
      <c r="S131" s="6"/>
      <c r="T131" s="6"/>
      <c r="U131" s="6"/>
      <c r="V131" s="6"/>
      <c r="W131" s="6"/>
    </row>
    <row r="132" spans="1:36">
      <c r="A132" s="6">
        <v>139</v>
      </c>
      <c r="B132" s="6" t="s">
        <v>4832</v>
      </c>
      <c r="C132" s="6" t="s">
        <v>1214</v>
      </c>
      <c r="D132" s="6" t="s">
        <v>1140</v>
      </c>
      <c r="E132" s="12" t="s">
        <v>4833</v>
      </c>
      <c r="F132" s="6" t="s">
        <v>4178</v>
      </c>
      <c r="G132" s="6" t="s">
        <v>4834</v>
      </c>
      <c r="H132" s="6" t="s">
        <v>4835</v>
      </c>
      <c r="I132" s="6" t="s">
        <v>1218</v>
      </c>
      <c r="J132" s="6"/>
      <c r="K132" s="6" t="s">
        <v>1214</v>
      </c>
      <c r="L132" s="6"/>
      <c r="M132" s="6" t="s">
        <v>4836</v>
      </c>
      <c r="N132" s="6">
        <v>49.7487031</v>
      </c>
      <c r="O132" s="6">
        <v>13.3808489</v>
      </c>
      <c r="P132" s="6"/>
      <c r="Q132" s="6"/>
      <c r="R132" s="6"/>
      <c r="S132" s="6"/>
      <c r="T132" s="6"/>
      <c r="U132" s="6"/>
      <c r="V132" s="6"/>
      <c r="W132" s="6"/>
      <c r="X132" s="6"/>
    </row>
    <row r="133" spans="1:36">
      <c r="A133" s="6">
        <v>141</v>
      </c>
      <c r="B133" s="6" t="s">
        <v>4837</v>
      </c>
      <c r="C133" s="6" t="s">
        <v>125</v>
      </c>
      <c r="D133" s="6" t="s">
        <v>2947</v>
      </c>
      <c r="E133" s="12" t="s">
        <v>4838</v>
      </c>
      <c r="F133" s="6" t="s">
        <v>4170</v>
      </c>
      <c r="G133" s="6"/>
      <c r="H133" s="6"/>
      <c r="I133" s="6" t="s">
        <v>130</v>
      </c>
      <c r="J133" s="6"/>
      <c r="K133" s="6" t="s">
        <v>125</v>
      </c>
      <c r="L133" s="6"/>
      <c r="M133" s="6" t="s">
        <v>4839</v>
      </c>
      <c r="N133" s="28">
        <v>49.790835000000001</v>
      </c>
      <c r="O133" s="28">
        <v>18.502972199999999</v>
      </c>
      <c r="P133" s="6"/>
      <c r="Q133" s="6"/>
      <c r="R133" s="6"/>
      <c r="S133" s="6"/>
      <c r="T133" s="6"/>
      <c r="U133" s="6"/>
      <c r="V133" s="6"/>
      <c r="W133" s="6"/>
      <c r="Y133" s="6"/>
      <c r="Z133" s="6"/>
      <c r="AA133" s="6"/>
      <c r="AB133" s="6"/>
      <c r="AC133" s="6"/>
      <c r="AD133" s="6"/>
      <c r="AE133" s="6"/>
      <c r="AF133" s="6"/>
      <c r="AG133" s="6"/>
      <c r="AH133" s="6"/>
      <c r="AI133" s="6"/>
      <c r="AJ133" s="6"/>
    </row>
    <row r="134" spans="1:36">
      <c r="A134" s="6">
        <v>142</v>
      </c>
      <c r="B134" s="6" t="s">
        <v>4840</v>
      </c>
      <c r="C134" s="6" t="s">
        <v>1214</v>
      </c>
      <c r="D134" s="6" t="s">
        <v>1140</v>
      </c>
      <c r="E134" s="12" t="s">
        <v>1217</v>
      </c>
      <c r="F134" s="12" t="s">
        <v>4178</v>
      </c>
      <c r="G134" s="6" t="s">
        <v>4841</v>
      </c>
      <c r="H134" s="6" t="s">
        <v>4842</v>
      </c>
      <c r="I134" s="6" t="s">
        <v>1218</v>
      </c>
      <c r="J134" s="6"/>
      <c r="K134" s="6" t="s">
        <v>1214</v>
      </c>
      <c r="L134" s="6"/>
      <c r="M134" s="6" t="s">
        <v>4843</v>
      </c>
      <c r="N134" s="28">
        <v>49.747703600000001</v>
      </c>
      <c r="O134" s="28">
        <v>13.3883847</v>
      </c>
      <c r="P134" s="6"/>
      <c r="Q134" s="6"/>
      <c r="R134" s="6"/>
      <c r="S134" s="6"/>
      <c r="T134" s="6"/>
      <c r="U134" s="6"/>
      <c r="V134" s="6"/>
      <c r="W134" s="6"/>
      <c r="X134" s="6"/>
    </row>
    <row r="135" spans="1:36">
      <c r="A135" s="6">
        <v>143</v>
      </c>
      <c r="B135" s="6" t="s">
        <v>4844</v>
      </c>
      <c r="C135" s="6" t="s">
        <v>1639</v>
      </c>
      <c r="D135" s="6" t="s">
        <v>4845</v>
      </c>
      <c r="E135" s="12" t="s">
        <v>4846</v>
      </c>
      <c r="F135" s="6" t="s">
        <v>4170</v>
      </c>
      <c r="G135" s="6" t="s">
        <v>4847</v>
      </c>
      <c r="H135" s="6"/>
      <c r="I135" s="6" t="s">
        <v>1643</v>
      </c>
      <c r="J135" s="6"/>
      <c r="K135" s="6" t="s">
        <v>1639</v>
      </c>
      <c r="L135" s="6"/>
      <c r="M135" s="6" t="s">
        <v>4848</v>
      </c>
      <c r="N135" s="6">
        <v>49.069657800000002</v>
      </c>
      <c r="O135" s="6">
        <v>17.253123299999999</v>
      </c>
      <c r="P135" s="6"/>
      <c r="Q135" s="6"/>
      <c r="R135" s="6"/>
      <c r="S135" s="6"/>
      <c r="T135" s="6"/>
      <c r="U135" s="6"/>
      <c r="V135" s="6"/>
      <c r="W135" s="6"/>
      <c r="Y135" s="6"/>
      <c r="Z135" s="6"/>
      <c r="AA135" s="6"/>
      <c r="AB135" s="6"/>
      <c r="AC135" s="6"/>
      <c r="AD135" s="6"/>
      <c r="AE135" s="6"/>
      <c r="AF135" s="6"/>
      <c r="AG135" s="6"/>
      <c r="AH135" s="6"/>
      <c r="AI135" s="6"/>
      <c r="AJ135" s="6"/>
    </row>
    <row r="136" spans="1:36">
      <c r="A136" s="6">
        <v>144</v>
      </c>
      <c r="B136" s="6" t="s">
        <v>4849</v>
      </c>
      <c r="C136" s="6" t="s">
        <v>489</v>
      </c>
      <c r="D136" s="6" t="s">
        <v>491</v>
      </c>
      <c r="E136" s="12" t="s">
        <v>4850</v>
      </c>
      <c r="F136" s="6" t="s">
        <v>4170</v>
      </c>
      <c r="G136" s="6" t="s">
        <v>4851</v>
      </c>
      <c r="H136" s="6" t="s">
        <v>4852</v>
      </c>
      <c r="I136" s="6" t="s">
        <v>493</v>
      </c>
      <c r="J136" s="6"/>
      <c r="K136" s="6" t="s">
        <v>489</v>
      </c>
      <c r="L136" s="6"/>
      <c r="M136" s="6" t="s">
        <v>4853</v>
      </c>
      <c r="N136" s="6">
        <v>49.557603899999997</v>
      </c>
      <c r="O136" s="6">
        <v>13.957319399999999</v>
      </c>
      <c r="P136" s="6"/>
      <c r="Q136" s="6"/>
      <c r="R136" s="6"/>
      <c r="S136" s="6"/>
      <c r="T136" s="6"/>
      <c r="U136" s="6"/>
      <c r="V136" s="6"/>
      <c r="W136" s="6"/>
    </row>
    <row r="137" spans="1:36">
      <c r="A137" s="6">
        <v>145</v>
      </c>
      <c r="B137" s="6" t="s">
        <v>4854</v>
      </c>
      <c r="C137" s="6"/>
      <c r="D137" s="6" t="s">
        <v>1018</v>
      </c>
      <c r="E137" s="12" t="s">
        <v>4855</v>
      </c>
      <c r="F137" s="6" t="s">
        <v>4111</v>
      </c>
      <c r="G137" s="6"/>
      <c r="H137" s="6" t="s">
        <v>4856</v>
      </c>
      <c r="I137" s="6" t="s">
        <v>4857</v>
      </c>
      <c r="J137" s="6"/>
      <c r="K137" s="12" t="s">
        <v>4115</v>
      </c>
      <c r="L137" s="6"/>
      <c r="M137" s="6" t="s">
        <v>4858</v>
      </c>
      <c r="N137" s="14">
        <v>49.206146099999998</v>
      </c>
      <c r="O137" s="14">
        <v>16.622561699999999</v>
      </c>
      <c r="P137" s="6"/>
      <c r="Q137" s="6"/>
      <c r="R137" s="6"/>
      <c r="S137" s="6"/>
      <c r="T137" s="6"/>
      <c r="U137" s="6"/>
      <c r="V137" s="6"/>
      <c r="W137" s="6"/>
      <c r="Y137" s="6"/>
      <c r="Z137" s="6"/>
      <c r="AA137" s="6"/>
      <c r="AB137" s="6"/>
      <c r="AC137" s="6"/>
      <c r="AD137" s="6"/>
      <c r="AE137" s="6"/>
      <c r="AF137" s="6"/>
      <c r="AG137" s="6"/>
      <c r="AH137" s="6"/>
      <c r="AI137" s="6"/>
      <c r="AJ137" s="6"/>
    </row>
    <row r="138" spans="1:36">
      <c r="A138" s="6">
        <v>146</v>
      </c>
      <c r="B138" s="6" t="s">
        <v>4859</v>
      </c>
      <c r="C138" s="6"/>
      <c r="D138" s="6" t="s">
        <v>2527</v>
      </c>
      <c r="E138" s="12" t="s">
        <v>4860</v>
      </c>
      <c r="F138" s="6" t="s">
        <v>4111</v>
      </c>
      <c r="G138" s="6" t="s">
        <v>4861</v>
      </c>
      <c r="H138" s="6" t="s">
        <v>4862</v>
      </c>
      <c r="I138" s="6" t="s">
        <v>4863</v>
      </c>
      <c r="J138" s="6" t="s">
        <v>4111</v>
      </c>
      <c r="K138" s="12" t="s">
        <v>4115</v>
      </c>
      <c r="L138" s="6"/>
      <c r="M138" s="6" t="s">
        <v>4864</v>
      </c>
      <c r="N138" s="14">
        <v>50.1041022</v>
      </c>
      <c r="O138" s="14">
        <v>14.473084699999999</v>
      </c>
      <c r="P138" s="6"/>
      <c r="Q138" s="6"/>
      <c r="R138" s="6"/>
      <c r="S138" s="6"/>
      <c r="T138" s="6"/>
      <c r="U138" s="6"/>
      <c r="V138" s="6"/>
      <c r="W138" s="6"/>
      <c r="X138" s="6"/>
    </row>
    <row r="139" spans="1:36">
      <c r="A139" s="6">
        <v>147</v>
      </c>
      <c r="B139" s="6" t="s">
        <v>4865</v>
      </c>
      <c r="C139" s="6" t="s">
        <v>1554</v>
      </c>
      <c r="D139" s="6" t="s">
        <v>2527</v>
      </c>
      <c r="E139" s="12" t="s">
        <v>4866</v>
      </c>
      <c r="F139" s="6" t="s">
        <v>4178</v>
      </c>
      <c r="G139" s="6" t="s">
        <v>4867</v>
      </c>
      <c r="H139" s="6" t="s">
        <v>4868</v>
      </c>
      <c r="I139" s="6" t="s">
        <v>1558</v>
      </c>
      <c r="J139" s="6"/>
      <c r="K139" s="6" t="s">
        <v>1554</v>
      </c>
      <c r="L139" s="6"/>
      <c r="M139" s="6" t="s">
        <v>4869</v>
      </c>
      <c r="N139" s="6">
        <v>50.102692500000003</v>
      </c>
      <c r="O139" s="6">
        <v>14.476175</v>
      </c>
      <c r="P139" s="6"/>
      <c r="Q139" s="6"/>
      <c r="R139" s="6"/>
      <c r="S139" s="6"/>
      <c r="T139" s="6"/>
      <c r="U139" s="6"/>
      <c r="V139" s="6"/>
      <c r="W139" s="6"/>
      <c r="X139" s="6"/>
    </row>
    <row r="140" spans="1:36">
      <c r="A140" s="6">
        <v>148</v>
      </c>
      <c r="B140" s="6" t="s">
        <v>4870</v>
      </c>
      <c r="C140" s="6" t="s">
        <v>1554</v>
      </c>
      <c r="D140" s="6" t="s">
        <v>1198</v>
      </c>
      <c r="E140" s="12" t="s">
        <v>4871</v>
      </c>
      <c r="F140" s="6" t="s">
        <v>4178</v>
      </c>
      <c r="G140" s="6" t="s">
        <v>4872</v>
      </c>
      <c r="H140" s="6" t="s">
        <v>4873</v>
      </c>
      <c r="I140" s="6" t="s">
        <v>1558</v>
      </c>
      <c r="J140" s="6"/>
      <c r="K140" s="6" t="s">
        <v>1554</v>
      </c>
      <c r="L140" s="6"/>
      <c r="M140" s="6" t="s">
        <v>4874</v>
      </c>
      <c r="N140" s="6">
        <v>50.034838299999997</v>
      </c>
      <c r="O140" s="6">
        <v>15.777598899999999</v>
      </c>
      <c r="P140" s="6"/>
      <c r="Q140" s="6"/>
      <c r="R140" s="6"/>
      <c r="S140" s="6"/>
      <c r="T140" s="6"/>
      <c r="U140" s="6"/>
      <c r="V140" s="6"/>
      <c r="W140" s="6"/>
      <c r="X140" s="6"/>
      <c r="Y140" s="6"/>
      <c r="Z140" s="12" t="s">
        <v>47</v>
      </c>
      <c r="AA140" s="6"/>
      <c r="AB140" s="6"/>
      <c r="AC140" s="6"/>
      <c r="AD140" s="6"/>
      <c r="AE140" s="6"/>
      <c r="AF140" s="6"/>
      <c r="AG140" s="6"/>
      <c r="AH140" s="6"/>
      <c r="AI140" s="6"/>
      <c r="AJ140" s="6"/>
    </row>
    <row r="141" spans="1:36">
      <c r="A141" s="6">
        <v>149</v>
      </c>
      <c r="B141" s="6" t="s">
        <v>4875</v>
      </c>
      <c r="C141" s="6" t="s">
        <v>1554</v>
      </c>
      <c r="D141" s="6" t="s">
        <v>1556</v>
      </c>
      <c r="E141" s="12" t="s">
        <v>4876</v>
      </c>
      <c r="F141" s="6" t="s">
        <v>4178</v>
      </c>
      <c r="G141" s="6" t="s">
        <v>4877</v>
      </c>
      <c r="H141" s="6" t="s">
        <v>4878</v>
      </c>
      <c r="I141" s="6" t="s">
        <v>1558</v>
      </c>
      <c r="J141" s="6"/>
      <c r="K141" s="6" t="s">
        <v>1554</v>
      </c>
      <c r="L141" s="6"/>
      <c r="M141" s="6" t="s">
        <v>4879</v>
      </c>
      <c r="N141" s="6">
        <v>50.060310299999998</v>
      </c>
      <c r="O141" s="6">
        <v>14.409610000000001</v>
      </c>
      <c r="P141" s="6"/>
      <c r="Q141" s="6"/>
      <c r="R141" s="6"/>
      <c r="S141" s="6"/>
      <c r="T141" s="6"/>
      <c r="U141" s="6"/>
      <c r="V141" s="6"/>
      <c r="W141" s="6"/>
      <c r="X141" s="6"/>
    </row>
    <row r="142" spans="1:36">
      <c r="A142" s="6">
        <v>150</v>
      </c>
      <c r="B142" s="6" t="s">
        <v>4880</v>
      </c>
      <c r="C142" s="6" t="s">
        <v>1554</v>
      </c>
      <c r="D142" s="6" t="s">
        <v>2602</v>
      </c>
      <c r="E142" s="12" t="s">
        <v>4881</v>
      </c>
      <c r="F142" s="6" t="s">
        <v>4178</v>
      </c>
      <c r="G142" s="6" t="s">
        <v>4882</v>
      </c>
      <c r="H142" s="6" t="s">
        <v>4883</v>
      </c>
      <c r="I142" s="6" t="s">
        <v>1558</v>
      </c>
      <c r="J142" s="6"/>
      <c r="K142" s="6" t="s">
        <v>1554</v>
      </c>
      <c r="L142" s="6"/>
      <c r="M142" s="6" t="s">
        <v>4884</v>
      </c>
      <c r="N142" s="6">
        <v>50.072510600000001</v>
      </c>
      <c r="O142" s="6">
        <v>14.4332964</v>
      </c>
      <c r="P142" s="6"/>
      <c r="Q142" s="6"/>
      <c r="R142" s="6"/>
      <c r="S142" s="6"/>
      <c r="T142" s="6"/>
      <c r="U142" s="6"/>
      <c r="V142" s="6"/>
      <c r="W142" s="6"/>
      <c r="X142" s="6"/>
    </row>
    <row r="143" spans="1:36">
      <c r="A143" s="6">
        <v>151</v>
      </c>
      <c r="B143" s="6" t="s">
        <v>4885</v>
      </c>
      <c r="C143" s="6" t="s">
        <v>1554</v>
      </c>
      <c r="D143" s="6" t="s">
        <v>208</v>
      </c>
      <c r="E143" s="12" t="s">
        <v>4886</v>
      </c>
      <c r="F143" s="6" t="s">
        <v>4178</v>
      </c>
      <c r="G143" s="6" t="s">
        <v>4887</v>
      </c>
      <c r="H143" s="6" t="s">
        <v>4888</v>
      </c>
      <c r="I143" s="6" t="s">
        <v>1558</v>
      </c>
      <c r="J143" s="6"/>
      <c r="K143" s="6" t="s">
        <v>1554</v>
      </c>
      <c r="L143" s="6"/>
      <c r="M143" s="6" t="s">
        <v>4889</v>
      </c>
      <c r="N143" s="6">
        <v>50.214531899999997</v>
      </c>
      <c r="O143" s="6">
        <v>15.845202499999999</v>
      </c>
      <c r="P143" s="6"/>
      <c r="Q143" s="6"/>
      <c r="R143" s="6"/>
      <c r="S143" s="6"/>
      <c r="T143" s="6"/>
      <c r="U143" s="6"/>
      <c r="V143" s="6"/>
      <c r="W143" s="6"/>
    </row>
    <row r="144" spans="1:36">
      <c r="A144" s="6">
        <v>152</v>
      </c>
      <c r="B144" s="6" t="s">
        <v>4890</v>
      </c>
      <c r="C144" s="6" t="s">
        <v>1554</v>
      </c>
      <c r="D144" s="6" t="s">
        <v>4891</v>
      </c>
      <c r="E144" s="12" t="s">
        <v>4892</v>
      </c>
      <c r="F144" s="6" t="s">
        <v>4178</v>
      </c>
      <c r="G144" s="6" t="s">
        <v>4893</v>
      </c>
      <c r="H144" s="6" t="s">
        <v>4894</v>
      </c>
      <c r="I144" s="6" t="s">
        <v>1558</v>
      </c>
      <c r="J144" s="6"/>
      <c r="K144" s="6" t="s">
        <v>1554</v>
      </c>
      <c r="L144" s="6"/>
      <c r="M144" s="6" t="s">
        <v>4895</v>
      </c>
      <c r="N144" s="6">
        <v>49.143986099999999</v>
      </c>
      <c r="O144" s="6">
        <v>15.003819699999999</v>
      </c>
      <c r="P144" s="6"/>
      <c r="Q144" s="6"/>
      <c r="R144" s="6"/>
      <c r="S144" s="6"/>
      <c r="T144" s="6"/>
      <c r="U144" s="6"/>
      <c r="V144" s="6"/>
      <c r="W144" s="6"/>
      <c r="Z144" s="9" t="s">
        <v>47</v>
      </c>
    </row>
    <row r="145" spans="1:36">
      <c r="A145" s="6">
        <v>153</v>
      </c>
      <c r="B145" s="6" t="s">
        <v>4896</v>
      </c>
      <c r="C145" s="6" t="s">
        <v>1554</v>
      </c>
      <c r="D145" s="6" t="s">
        <v>2156</v>
      </c>
      <c r="E145" s="12" t="s">
        <v>4897</v>
      </c>
      <c r="F145" s="6" t="s">
        <v>4178</v>
      </c>
      <c r="G145" s="6" t="s">
        <v>4898</v>
      </c>
      <c r="H145" s="6" t="s">
        <v>4899</v>
      </c>
      <c r="I145" s="6" t="s">
        <v>1558</v>
      </c>
      <c r="J145" s="6"/>
      <c r="K145" s="6" t="s">
        <v>1554</v>
      </c>
      <c r="L145" s="6"/>
      <c r="M145" s="6" t="s">
        <v>4900</v>
      </c>
      <c r="N145" s="6">
        <v>49.235828599999998</v>
      </c>
      <c r="O145" s="6">
        <v>17.670121399999999</v>
      </c>
      <c r="P145" s="6"/>
      <c r="Q145" s="6"/>
      <c r="R145" s="6"/>
      <c r="S145" s="6"/>
      <c r="T145" s="6"/>
      <c r="U145" s="6"/>
      <c r="V145" s="6"/>
      <c r="W145" s="6"/>
    </row>
    <row r="146" spans="1:36">
      <c r="A146" s="6">
        <v>154</v>
      </c>
      <c r="B146" s="6" t="s">
        <v>4901</v>
      </c>
      <c r="C146" s="6"/>
      <c r="D146" s="6" t="s">
        <v>1018</v>
      </c>
      <c r="E146" s="12" t="s">
        <v>4902</v>
      </c>
      <c r="F146" s="6" t="s">
        <v>4111</v>
      </c>
      <c r="G146" s="6" t="s">
        <v>4903</v>
      </c>
      <c r="H146" s="6" t="s">
        <v>4904</v>
      </c>
      <c r="I146" s="6" t="s">
        <v>4905</v>
      </c>
      <c r="J146" s="6"/>
      <c r="K146" s="12" t="s">
        <v>4115</v>
      </c>
      <c r="L146" s="6"/>
      <c r="M146" s="6" t="s">
        <v>4906</v>
      </c>
      <c r="N146" s="14">
        <v>49.201302800000001</v>
      </c>
      <c r="O146" s="14">
        <v>16.607835600000001</v>
      </c>
      <c r="P146" s="6"/>
      <c r="Q146" s="6"/>
      <c r="R146" s="6"/>
      <c r="S146" s="6"/>
      <c r="T146" s="6"/>
      <c r="U146" s="6"/>
      <c r="V146" s="6"/>
      <c r="W146" s="6"/>
    </row>
    <row r="147" spans="1:36">
      <c r="A147" s="6">
        <v>155</v>
      </c>
      <c r="B147" s="6" t="s">
        <v>3290</v>
      </c>
      <c r="C147" s="6" t="s">
        <v>3285</v>
      </c>
      <c r="D147" s="6" t="s">
        <v>1223</v>
      </c>
      <c r="E147" s="12" t="s">
        <v>4907</v>
      </c>
      <c r="F147" s="6" t="s">
        <v>4150</v>
      </c>
      <c r="G147" s="6" t="s">
        <v>4908</v>
      </c>
      <c r="H147" s="6" t="s">
        <v>4909</v>
      </c>
      <c r="I147" s="6" t="s">
        <v>3288</v>
      </c>
      <c r="J147" s="6" t="s">
        <v>4111</v>
      </c>
      <c r="K147" s="12" t="s">
        <v>4910</v>
      </c>
      <c r="L147" s="6"/>
      <c r="M147" s="6" t="s">
        <v>4911</v>
      </c>
      <c r="N147" s="6">
        <v>50.3515339</v>
      </c>
      <c r="O147" s="28">
        <v>14.474434199999999</v>
      </c>
      <c r="P147" s="6"/>
      <c r="Q147" s="6"/>
      <c r="R147" s="6"/>
      <c r="S147" s="6"/>
      <c r="T147" s="6"/>
      <c r="U147" s="6"/>
      <c r="V147" s="6"/>
      <c r="W147" s="6"/>
    </row>
    <row r="148" spans="1:36">
      <c r="A148" s="6">
        <v>156</v>
      </c>
      <c r="B148" s="6" t="s">
        <v>4912</v>
      </c>
      <c r="C148" s="6" t="s">
        <v>4913</v>
      </c>
      <c r="D148" s="6" t="s">
        <v>2602</v>
      </c>
      <c r="E148" s="12" t="s">
        <v>3050</v>
      </c>
      <c r="F148" s="6" t="s">
        <v>4150</v>
      </c>
      <c r="G148" s="15" t="s">
        <v>4914</v>
      </c>
      <c r="H148" s="15" t="s">
        <v>4915</v>
      </c>
      <c r="I148" s="6" t="s">
        <v>4916</v>
      </c>
      <c r="J148" s="6" t="s">
        <v>4917</v>
      </c>
      <c r="K148" s="6" t="s">
        <v>4913</v>
      </c>
      <c r="L148" s="6"/>
      <c r="M148" s="6" t="s">
        <v>3056</v>
      </c>
      <c r="N148" s="6">
        <v>50.076327999999897</v>
      </c>
      <c r="O148" s="6">
        <v>14.430812</v>
      </c>
      <c r="P148" s="6"/>
      <c r="Q148" s="6"/>
      <c r="R148" s="6"/>
      <c r="S148" s="6"/>
      <c r="T148" s="6"/>
      <c r="U148" s="6"/>
      <c r="V148" s="6"/>
      <c r="W148" s="6"/>
      <c r="X148" s="6"/>
    </row>
    <row r="149" spans="1:36">
      <c r="A149" s="6">
        <v>157</v>
      </c>
      <c r="B149" s="6" t="s">
        <v>4918</v>
      </c>
      <c r="C149" s="6"/>
      <c r="D149" s="6" t="s">
        <v>3268</v>
      </c>
      <c r="E149" s="12" t="s">
        <v>4919</v>
      </c>
      <c r="F149" s="6" t="s">
        <v>4170</v>
      </c>
      <c r="G149" s="6"/>
      <c r="H149" s="6" t="s">
        <v>4920</v>
      </c>
      <c r="I149" s="6" t="s">
        <v>4921</v>
      </c>
      <c r="J149" s="6"/>
      <c r="K149" s="12" t="s">
        <v>4115</v>
      </c>
      <c r="L149" s="6"/>
      <c r="M149" s="6" t="s">
        <v>4922</v>
      </c>
      <c r="N149" s="6">
        <v>50.183035599999997</v>
      </c>
      <c r="O149" s="6">
        <v>14.678626700000001</v>
      </c>
      <c r="P149" s="6"/>
      <c r="Q149" s="6"/>
      <c r="R149" s="6"/>
      <c r="S149" s="6"/>
      <c r="T149" s="6"/>
      <c r="U149" s="6"/>
      <c r="V149" s="6"/>
      <c r="W149" s="6"/>
    </row>
    <row r="150" spans="1:36">
      <c r="A150" s="6">
        <v>158</v>
      </c>
      <c r="B150" s="6" t="s">
        <v>4923</v>
      </c>
      <c r="C150" s="6" t="s">
        <v>3259</v>
      </c>
      <c r="D150" s="6" t="s">
        <v>636</v>
      </c>
      <c r="E150" s="12" t="s">
        <v>4924</v>
      </c>
      <c r="F150" s="6" t="s">
        <v>4150</v>
      </c>
      <c r="G150" s="6"/>
      <c r="H150" s="6" t="s">
        <v>4925</v>
      </c>
      <c r="I150" s="6" t="s">
        <v>3262</v>
      </c>
      <c r="J150" s="6"/>
      <c r="K150" s="6" t="s">
        <v>3259</v>
      </c>
      <c r="L150" s="6"/>
      <c r="M150" s="6" t="s">
        <v>4927</v>
      </c>
      <c r="N150" s="6">
        <v>49.3957275</v>
      </c>
      <c r="O150" s="6">
        <v>15.5892567</v>
      </c>
      <c r="P150" s="6"/>
      <c r="Q150" s="6"/>
      <c r="R150" s="6"/>
      <c r="S150" s="6"/>
      <c r="T150" s="6"/>
      <c r="U150" s="6"/>
      <c r="V150" s="6"/>
      <c r="W150" s="6"/>
    </row>
    <row r="151" spans="1:36">
      <c r="A151" s="6">
        <v>159</v>
      </c>
      <c r="B151" s="10" t="s">
        <v>4929</v>
      </c>
      <c r="C151" s="6"/>
      <c r="D151" s="6" t="s">
        <v>1018</v>
      </c>
      <c r="E151" s="12" t="s">
        <v>4930</v>
      </c>
      <c r="F151" s="6" t="s">
        <v>4111</v>
      </c>
      <c r="G151" s="6" t="s">
        <v>4931</v>
      </c>
      <c r="H151" s="6" t="s">
        <v>4932</v>
      </c>
      <c r="I151" s="6" t="s">
        <v>4933</v>
      </c>
      <c r="J151" s="6" t="s">
        <v>4111</v>
      </c>
      <c r="K151" s="12" t="s">
        <v>4115</v>
      </c>
      <c r="L151" s="6"/>
      <c r="M151" s="6" t="s">
        <v>4934</v>
      </c>
      <c r="N151" s="14">
        <v>49.200934199999999</v>
      </c>
      <c r="O151" s="14">
        <v>16.607929200000001</v>
      </c>
      <c r="P151" s="6"/>
      <c r="Q151" s="6"/>
      <c r="R151" s="6"/>
      <c r="S151" s="6"/>
      <c r="T151" s="6"/>
      <c r="U151" s="6"/>
      <c r="V151" s="6"/>
      <c r="W151" s="6"/>
    </row>
    <row r="152" spans="1:36">
      <c r="A152" s="6">
        <v>160</v>
      </c>
      <c r="B152" s="6" t="s">
        <v>4935</v>
      </c>
      <c r="C152" s="6" t="s">
        <v>1134</v>
      </c>
      <c r="D152" s="6" t="s">
        <v>123</v>
      </c>
      <c r="E152" s="12" t="s">
        <v>4936</v>
      </c>
      <c r="F152" s="6" t="s">
        <v>4178</v>
      </c>
      <c r="G152" s="6" t="s">
        <v>4937</v>
      </c>
      <c r="H152" s="6" t="s">
        <v>4938</v>
      </c>
      <c r="I152" s="6" t="s">
        <v>1141</v>
      </c>
      <c r="J152" s="6"/>
      <c r="K152" s="6" t="s">
        <v>1134</v>
      </c>
      <c r="L152" s="6"/>
      <c r="M152" s="6" t="s">
        <v>4939</v>
      </c>
      <c r="N152" s="28">
        <v>49.836994400000002</v>
      </c>
      <c r="O152" s="28">
        <v>18.262175800000001</v>
      </c>
      <c r="P152" s="6"/>
      <c r="Q152" s="6"/>
      <c r="R152" s="6"/>
      <c r="S152" s="6"/>
      <c r="T152" s="6"/>
      <c r="U152" s="6"/>
      <c r="V152" s="6"/>
      <c r="W152" s="6"/>
      <c r="Y152" s="6"/>
      <c r="Z152" s="6"/>
      <c r="AA152" s="6"/>
      <c r="AB152" s="6"/>
      <c r="AC152" s="6"/>
      <c r="AD152" s="6"/>
      <c r="AE152" s="6"/>
      <c r="AF152" s="6"/>
      <c r="AG152" s="6"/>
      <c r="AH152" s="6"/>
      <c r="AI152" s="6"/>
      <c r="AJ152" s="6"/>
    </row>
    <row r="153" spans="1:36">
      <c r="A153" s="6">
        <v>161</v>
      </c>
      <c r="B153" s="70" t="s">
        <v>4940</v>
      </c>
      <c r="C153" s="6" t="s">
        <v>1134</v>
      </c>
      <c r="D153" s="6" t="s">
        <v>3935</v>
      </c>
      <c r="E153" s="12" t="s">
        <v>4941</v>
      </c>
      <c r="F153" s="6" t="s">
        <v>4178</v>
      </c>
      <c r="G153" s="6" t="s">
        <v>4942</v>
      </c>
      <c r="H153" s="6" t="s">
        <v>4943</v>
      </c>
      <c r="I153" s="6" t="s">
        <v>1141</v>
      </c>
      <c r="J153" s="6"/>
      <c r="K153" s="6" t="s">
        <v>1134</v>
      </c>
      <c r="L153" s="6"/>
      <c r="M153" s="6" t="s">
        <v>4944</v>
      </c>
      <c r="N153" s="6">
        <v>49.792363899999998</v>
      </c>
      <c r="O153" s="6">
        <v>18.259953599999999</v>
      </c>
      <c r="P153" s="6"/>
      <c r="Q153" s="6"/>
      <c r="R153" s="6"/>
      <c r="S153" s="6"/>
      <c r="T153" s="6"/>
      <c r="U153" s="6"/>
      <c r="V153" s="6"/>
      <c r="W153" s="6"/>
      <c r="Y153" s="6"/>
      <c r="Z153" s="6"/>
      <c r="AA153" s="6"/>
      <c r="AB153" s="6"/>
      <c r="AC153" s="6"/>
      <c r="AD153" s="6"/>
      <c r="AE153" s="6"/>
      <c r="AF153" s="6"/>
      <c r="AG153" s="6"/>
      <c r="AH153" s="6"/>
      <c r="AI153" s="6"/>
      <c r="AJ153" s="6"/>
    </row>
    <row r="154" spans="1:36">
      <c r="A154" s="6">
        <v>162</v>
      </c>
      <c r="B154" s="6" t="s">
        <v>4946</v>
      </c>
      <c r="C154" s="6" t="s">
        <v>1134</v>
      </c>
      <c r="D154" s="6" t="s">
        <v>516</v>
      </c>
      <c r="E154" s="12" t="s">
        <v>4947</v>
      </c>
      <c r="F154" s="6" t="s">
        <v>4178</v>
      </c>
      <c r="G154" s="6"/>
      <c r="H154" s="6" t="s">
        <v>4948</v>
      </c>
      <c r="I154" s="6" t="s">
        <v>1141</v>
      </c>
      <c r="J154" s="6"/>
      <c r="K154" s="6" t="s">
        <v>1134</v>
      </c>
      <c r="L154" s="6"/>
      <c r="M154" s="6" t="s">
        <v>4949</v>
      </c>
      <c r="N154" s="28">
        <v>49.942266699999998</v>
      </c>
      <c r="O154" s="28">
        <v>17.893648299999999</v>
      </c>
      <c r="P154" s="6"/>
      <c r="Q154" s="6"/>
      <c r="R154" s="6"/>
      <c r="S154" s="6"/>
      <c r="T154" s="6"/>
      <c r="U154" s="6"/>
      <c r="V154" s="6"/>
      <c r="W154" s="6"/>
    </row>
    <row r="155" spans="1:36">
      <c r="A155" s="6">
        <v>163</v>
      </c>
      <c r="B155" s="6" t="s">
        <v>4950</v>
      </c>
      <c r="C155" s="6"/>
      <c r="D155" s="6" t="s">
        <v>1785</v>
      </c>
      <c r="E155" s="12" t="s">
        <v>4951</v>
      </c>
      <c r="F155" s="6" t="s">
        <v>4111</v>
      </c>
      <c r="G155" s="6" t="s">
        <v>4952</v>
      </c>
      <c r="H155" s="6" t="s">
        <v>4953</v>
      </c>
      <c r="I155" s="6" t="s">
        <v>4954</v>
      </c>
      <c r="J155" s="6" t="s">
        <v>4111</v>
      </c>
      <c r="K155" s="12" t="s">
        <v>4955</v>
      </c>
      <c r="L155" s="6"/>
      <c r="M155" s="6" t="s">
        <v>4956</v>
      </c>
      <c r="N155" s="6">
        <v>50.084426899999997</v>
      </c>
      <c r="O155" s="6">
        <v>14.450973599999999</v>
      </c>
      <c r="P155" s="6"/>
      <c r="Q155" s="6"/>
      <c r="R155" s="6"/>
      <c r="S155" s="6"/>
      <c r="T155" s="6"/>
      <c r="U155" s="6"/>
      <c r="V155" s="6"/>
      <c r="W155" s="6"/>
      <c r="X155" s="6"/>
    </row>
    <row r="156" spans="1:36">
      <c r="A156" s="6">
        <v>164</v>
      </c>
      <c r="B156" s="6" t="s">
        <v>612</v>
      </c>
      <c r="C156" s="6" t="s">
        <v>606</v>
      </c>
      <c r="D156" s="6" t="s">
        <v>606</v>
      </c>
      <c r="E156" s="12" t="s">
        <v>4957</v>
      </c>
      <c r="F156" s="6" t="s">
        <v>4150</v>
      </c>
      <c r="G156" s="6" t="s">
        <v>4958</v>
      </c>
      <c r="H156" s="6"/>
      <c r="I156" s="6" t="s">
        <v>609</v>
      </c>
      <c r="J156" s="6"/>
      <c r="K156" s="6" t="s">
        <v>606</v>
      </c>
      <c r="L156" s="6"/>
      <c r="M156" s="6" t="s">
        <v>4959</v>
      </c>
      <c r="N156" s="6">
        <v>48.615924700000001</v>
      </c>
      <c r="O156" s="6">
        <v>14.3126417</v>
      </c>
      <c r="P156" s="6"/>
      <c r="Q156" s="6"/>
      <c r="R156" s="6"/>
      <c r="S156" s="6"/>
      <c r="T156" s="6"/>
      <c r="U156" s="6"/>
      <c r="V156" s="6"/>
      <c r="W156" s="6"/>
    </row>
    <row r="157" spans="1:36">
      <c r="A157" s="6">
        <v>165</v>
      </c>
      <c r="B157" s="6" t="s">
        <v>4960</v>
      </c>
      <c r="C157" s="6"/>
      <c r="D157" s="6" t="s">
        <v>1018</v>
      </c>
      <c r="E157" s="12" t="s">
        <v>4961</v>
      </c>
      <c r="F157" s="6" t="s">
        <v>4111</v>
      </c>
      <c r="G157" s="6"/>
      <c r="H157" s="6" t="s">
        <v>4962</v>
      </c>
      <c r="I157" s="6" t="s">
        <v>4963</v>
      </c>
      <c r="J157" s="6"/>
      <c r="K157" s="12" t="s">
        <v>4115</v>
      </c>
      <c r="L157" s="6"/>
      <c r="M157" s="6" t="s">
        <v>4964</v>
      </c>
      <c r="N157" s="14">
        <v>49.195932800000001</v>
      </c>
      <c r="O157" s="14">
        <v>16.611716399999999</v>
      </c>
      <c r="P157" s="6"/>
      <c r="Q157" s="6"/>
      <c r="R157" s="6"/>
      <c r="S157" s="6"/>
      <c r="T157" s="6"/>
      <c r="U157" s="6"/>
      <c r="V157" s="6"/>
      <c r="W157" s="6"/>
      <c r="Y157" s="6"/>
      <c r="Z157" s="6"/>
      <c r="AA157" s="6"/>
      <c r="AB157" s="6"/>
      <c r="AC157" s="6"/>
      <c r="AD157" s="6"/>
      <c r="AE157" s="6"/>
      <c r="AF157" s="6"/>
      <c r="AG157" s="6"/>
      <c r="AH157" s="6"/>
      <c r="AI157" s="6"/>
      <c r="AJ157" s="6"/>
    </row>
    <row r="158" spans="1:36">
      <c r="A158" s="6">
        <v>166</v>
      </c>
      <c r="B158" s="6" t="s">
        <v>4965</v>
      </c>
      <c r="C158" s="6" t="s">
        <v>1955</v>
      </c>
      <c r="D158" s="6" t="s">
        <v>1955</v>
      </c>
      <c r="E158" s="12" t="s">
        <v>4966</v>
      </c>
      <c r="F158" s="6" t="s">
        <v>4170</v>
      </c>
      <c r="G158" s="6" t="s">
        <v>4967</v>
      </c>
      <c r="H158" s="6"/>
      <c r="I158" s="6" t="s">
        <v>1958</v>
      </c>
      <c r="J158" s="6"/>
      <c r="K158" s="6" t="s">
        <v>1955</v>
      </c>
      <c r="L158" s="6"/>
      <c r="M158" s="6" t="s">
        <v>4968</v>
      </c>
      <c r="N158" s="6">
        <v>48.795951100000003</v>
      </c>
      <c r="O158" s="6">
        <v>14.682096400000001</v>
      </c>
      <c r="P158" s="6"/>
      <c r="Q158" s="6"/>
      <c r="R158" s="6"/>
      <c r="S158" s="6"/>
      <c r="T158" s="6"/>
      <c r="U158" s="6"/>
      <c r="V158" s="6"/>
      <c r="W158" s="6"/>
    </row>
    <row r="159" spans="1:36">
      <c r="A159" s="6">
        <v>167</v>
      </c>
      <c r="B159" s="6" t="s">
        <v>4969</v>
      </c>
      <c r="C159" s="6" t="s">
        <v>3429</v>
      </c>
      <c r="D159" s="6" t="s">
        <v>3431</v>
      </c>
      <c r="E159" s="12" t="s">
        <v>4970</v>
      </c>
      <c r="F159" s="6" t="s">
        <v>4150</v>
      </c>
      <c r="G159" s="6" t="s">
        <v>4971</v>
      </c>
      <c r="H159" s="6"/>
      <c r="I159" s="6" t="s">
        <v>3433</v>
      </c>
      <c r="J159" s="6"/>
      <c r="K159" s="6" t="s">
        <v>3429</v>
      </c>
      <c r="L159" s="6"/>
      <c r="M159" s="6" t="s">
        <v>4972</v>
      </c>
      <c r="N159" s="6">
        <v>50.016105600000003</v>
      </c>
      <c r="O159" s="6">
        <v>17.081024200000002</v>
      </c>
      <c r="P159" s="6"/>
      <c r="Q159" s="6"/>
      <c r="R159" s="6"/>
      <c r="S159" s="6"/>
      <c r="T159" s="6"/>
      <c r="U159" s="6"/>
      <c r="V159" s="6"/>
      <c r="W159" s="6"/>
      <c r="X159" s="6"/>
    </row>
    <row r="160" spans="1:36">
      <c r="A160" s="6">
        <v>168</v>
      </c>
      <c r="B160" s="6" t="s">
        <v>4973</v>
      </c>
      <c r="C160" s="6" t="s">
        <v>1369</v>
      </c>
      <c r="D160" s="6" t="s">
        <v>4974</v>
      </c>
      <c r="E160" s="12" t="s">
        <v>4975</v>
      </c>
      <c r="F160" s="6" t="s">
        <v>4150</v>
      </c>
      <c r="G160" s="6" t="s">
        <v>4976</v>
      </c>
      <c r="H160" s="6" t="s">
        <v>4977</v>
      </c>
      <c r="I160" s="6" t="s">
        <v>1373</v>
      </c>
      <c r="J160" s="6"/>
      <c r="K160" s="6" t="s">
        <v>1369</v>
      </c>
      <c r="L160" s="6"/>
      <c r="M160" s="6" t="s">
        <v>4978</v>
      </c>
      <c r="N160" s="28">
        <v>49.702738099999998</v>
      </c>
      <c r="O160" s="28">
        <v>13.4704903</v>
      </c>
      <c r="P160" s="6"/>
      <c r="Q160" s="6"/>
      <c r="R160" s="6"/>
      <c r="S160" s="6"/>
      <c r="T160" s="6"/>
      <c r="U160" s="6"/>
      <c r="V160" s="6"/>
      <c r="W160" s="6"/>
      <c r="X160" s="6"/>
    </row>
    <row r="161" spans="1:36">
      <c r="A161" s="6">
        <v>169</v>
      </c>
      <c r="B161" s="6" t="s">
        <v>4979</v>
      </c>
      <c r="C161" s="6"/>
      <c r="D161" s="6" t="s">
        <v>1198</v>
      </c>
      <c r="E161" s="12" t="s">
        <v>4980</v>
      </c>
      <c r="F161" s="6" t="s">
        <v>4111</v>
      </c>
      <c r="G161" s="6" t="s">
        <v>4981</v>
      </c>
      <c r="H161" s="6" t="s">
        <v>4982</v>
      </c>
      <c r="I161" s="6" t="s">
        <v>4983</v>
      </c>
      <c r="J161" s="6" t="s">
        <v>4111</v>
      </c>
      <c r="K161" s="12" t="s">
        <v>4115</v>
      </c>
      <c r="L161" s="6"/>
      <c r="M161" s="6" t="s">
        <v>4984</v>
      </c>
      <c r="N161" s="14">
        <v>50.034343900000003</v>
      </c>
      <c r="O161" s="14">
        <v>15.7715225</v>
      </c>
      <c r="P161" s="6"/>
      <c r="Q161" s="6"/>
      <c r="R161" s="6"/>
      <c r="S161" s="6"/>
      <c r="T161" s="6"/>
      <c r="U161" s="6"/>
      <c r="V161" s="6"/>
      <c r="W161" s="6"/>
      <c r="X161" s="6"/>
    </row>
    <row r="162" spans="1:36">
      <c r="A162" s="6">
        <v>170</v>
      </c>
      <c r="B162" s="6" t="s">
        <v>4985</v>
      </c>
      <c r="C162" s="6"/>
      <c r="D162" s="6" t="s">
        <v>636</v>
      </c>
      <c r="E162" s="12" t="s">
        <v>4986</v>
      </c>
      <c r="F162" s="6" t="s">
        <v>4111</v>
      </c>
      <c r="G162" s="6" t="s">
        <v>4987</v>
      </c>
      <c r="H162" s="6" t="s">
        <v>4988</v>
      </c>
      <c r="I162" s="6" t="s">
        <v>4989</v>
      </c>
      <c r="J162" s="6" t="s">
        <v>4111</v>
      </c>
      <c r="K162" s="12" t="s">
        <v>4990</v>
      </c>
      <c r="L162" s="6"/>
      <c r="M162" s="6" t="s">
        <v>4991</v>
      </c>
      <c r="N162" s="14">
        <v>49.400226699999997</v>
      </c>
      <c r="O162" s="14">
        <v>15.5877236</v>
      </c>
      <c r="P162" s="6"/>
      <c r="Q162" s="6"/>
      <c r="R162" s="6"/>
      <c r="S162" s="6"/>
      <c r="T162" s="6"/>
      <c r="U162" s="6"/>
      <c r="V162" s="6"/>
      <c r="W162" s="6"/>
    </row>
    <row r="163" spans="1:36">
      <c r="A163" s="6">
        <v>171</v>
      </c>
      <c r="B163" s="6" t="s">
        <v>4992</v>
      </c>
      <c r="C163" s="6"/>
      <c r="D163" s="6" t="s">
        <v>1785</v>
      </c>
      <c r="E163" s="12" t="s">
        <v>4993</v>
      </c>
      <c r="F163" s="6" t="s">
        <v>4111</v>
      </c>
      <c r="G163" s="6"/>
      <c r="H163" s="6" t="s">
        <v>4994</v>
      </c>
      <c r="I163" s="6" t="s">
        <v>4995</v>
      </c>
      <c r="J163" s="6" t="s">
        <v>4996</v>
      </c>
      <c r="K163" s="12" t="s">
        <v>4115</v>
      </c>
      <c r="L163" s="6"/>
      <c r="M163" s="28" t="s">
        <v>4997</v>
      </c>
      <c r="N163" s="28">
        <v>50.091606400000003</v>
      </c>
      <c r="O163" s="6">
        <v>14.473659400000001</v>
      </c>
      <c r="P163" s="6"/>
      <c r="Q163" s="6"/>
      <c r="R163" s="6"/>
      <c r="S163" s="6"/>
      <c r="T163" s="6"/>
      <c r="U163" s="6"/>
      <c r="V163" s="6"/>
      <c r="W163" s="6"/>
      <c r="X163" s="6"/>
    </row>
    <row r="164" spans="1:36">
      <c r="A164" s="6">
        <v>172</v>
      </c>
      <c r="B164" s="6" t="s">
        <v>4998</v>
      </c>
      <c r="C164" s="6"/>
      <c r="D164" s="6" t="s">
        <v>208</v>
      </c>
      <c r="E164" s="12" t="s">
        <v>4999</v>
      </c>
      <c r="F164" s="6" t="s">
        <v>4111</v>
      </c>
      <c r="G164" s="6" t="s">
        <v>5000</v>
      </c>
      <c r="H164" s="6" t="s">
        <v>5001</v>
      </c>
      <c r="I164" s="6" t="s">
        <v>5002</v>
      </c>
      <c r="J164" s="6" t="s">
        <v>4111</v>
      </c>
      <c r="K164" s="12" t="s">
        <v>4115</v>
      </c>
      <c r="L164" s="6"/>
      <c r="M164" s="6" t="s">
        <v>5003</v>
      </c>
      <c r="N164" s="14">
        <v>50.2097397</v>
      </c>
      <c r="O164" s="14">
        <v>15.8356856</v>
      </c>
      <c r="P164" s="6"/>
      <c r="Q164" s="6"/>
      <c r="R164" s="6"/>
      <c r="S164" s="6"/>
      <c r="T164" s="6"/>
      <c r="U164" s="6"/>
      <c r="V164" s="6"/>
      <c r="W164" s="6"/>
    </row>
    <row r="165" spans="1:36">
      <c r="A165" s="6">
        <v>173</v>
      </c>
      <c r="B165" s="6" t="s">
        <v>5004</v>
      </c>
      <c r="C165" s="6" t="s">
        <v>5005</v>
      </c>
      <c r="D165" s="6" t="s">
        <v>516</v>
      </c>
      <c r="E165" s="12" t="s">
        <v>5006</v>
      </c>
      <c r="F165" s="6" t="s">
        <v>4170</v>
      </c>
      <c r="G165" s="6"/>
      <c r="H165" s="6" t="s">
        <v>5007</v>
      </c>
      <c r="I165" s="6" t="s">
        <v>3305</v>
      </c>
      <c r="J165" s="6"/>
      <c r="K165" s="6" t="s">
        <v>5005</v>
      </c>
      <c r="L165" s="6"/>
      <c r="M165" s="6" t="s">
        <v>5008</v>
      </c>
      <c r="N165" s="28">
        <v>49.9377797</v>
      </c>
      <c r="O165" s="28">
        <v>17.8963486</v>
      </c>
      <c r="P165" s="6"/>
      <c r="Q165" s="6"/>
      <c r="R165" s="6"/>
      <c r="S165" s="6"/>
      <c r="T165" s="6"/>
      <c r="U165" s="6"/>
      <c r="V165" s="6"/>
      <c r="W165" s="6"/>
    </row>
    <row r="166" spans="1:36">
      <c r="A166" s="6">
        <v>174</v>
      </c>
      <c r="B166" s="6" t="s">
        <v>5009</v>
      </c>
      <c r="C166" s="6" t="s">
        <v>4424</v>
      </c>
      <c r="D166" s="6" t="s">
        <v>2669</v>
      </c>
      <c r="E166" s="12" t="s">
        <v>5010</v>
      </c>
      <c r="F166" s="6" t="s">
        <v>4178</v>
      </c>
      <c r="G166" s="6" t="s">
        <v>5011</v>
      </c>
      <c r="H166" s="6" t="s">
        <v>5012</v>
      </c>
      <c r="I166" s="6" t="s">
        <v>1772</v>
      </c>
      <c r="J166" s="6"/>
      <c r="K166" s="6" t="s">
        <v>4424</v>
      </c>
      <c r="L166" s="6"/>
      <c r="M166" s="6" t="s">
        <v>5013</v>
      </c>
      <c r="N166" s="6">
        <v>49.518409200000001</v>
      </c>
      <c r="O166" s="6">
        <v>16.2596919</v>
      </c>
      <c r="P166" s="6"/>
      <c r="Q166" s="6"/>
      <c r="R166" s="6"/>
      <c r="S166" s="6"/>
      <c r="T166" s="6"/>
      <c r="U166" s="6"/>
      <c r="V166" s="6"/>
      <c r="W166" s="6"/>
      <c r="Y166" s="6"/>
      <c r="Z166" s="6"/>
      <c r="AA166" s="6"/>
      <c r="AB166" s="6"/>
      <c r="AC166" s="6"/>
      <c r="AD166" s="6"/>
      <c r="AE166" s="6"/>
      <c r="AF166" s="6"/>
      <c r="AG166" s="6"/>
      <c r="AH166" s="6"/>
      <c r="AI166" s="6"/>
      <c r="AJ166" s="6"/>
    </row>
    <row r="167" spans="1:36">
      <c r="A167" s="6">
        <v>175</v>
      </c>
      <c r="B167" s="6" t="s">
        <v>5014</v>
      </c>
      <c r="C167" s="6" t="s">
        <v>2268</v>
      </c>
      <c r="D167" s="6" t="s">
        <v>5015</v>
      </c>
      <c r="E167" s="12" t="s">
        <v>5016</v>
      </c>
      <c r="F167" s="6" t="s">
        <v>4150</v>
      </c>
      <c r="G167" s="6"/>
      <c r="H167" s="6" t="s">
        <v>5017</v>
      </c>
      <c r="I167" s="6" t="s">
        <v>2273</v>
      </c>
      <c r="J167" s="6"/>
      <c r="K167" s="6" t="s">
        <v>2268</v>
      </c>
      <c r="L167" s="6"/>
      <c r="M167" s="6" t="s">
        <v>5018</v>
      </c>
      <c r="N167" s="28">
        <v>50.036527800000002</v>
      </c>
      <c r="O167" s="28">
        <v>16.495985000000001</v>
      </c>
      <c r="P167" s="6"/>
      <c r="Q167" s="6"/>
      <c r="R167" s="6"/>
      <c r="S167" s="6"/>
      <c r="T167" s="6"/>
      <c r="U167" s="6"/>
      <c r="V167" s="6"/>
      <c r="W167" s="6"/>
    </row>
    <row r="168" spans="1:36">
      <c r="A168" s="6">
        <v>176</v>
      </c>
      <c r="B168" s="6" t="s">
        <v>5019</v>
      </c>
      <c r="C168" s="6" t="s">
        <v>1562</v>
      </c>
      <c r="D168" s="6" t="s">
        <v>1453</v>
      </c>
      <c r="E168" s="12" t="s">
        <v>5020</v>
      </c>
      <c r="F168" s="6" t="s">
        <v>4150</v>
      </c>
      <c r="G168" s="6" t="s">
        <v>5021</v>
      </c>
      <c r="H168" s="6" t="s">
        <v>5022</v>
      </c>
      <c r="I168" s="6" t="s">
        <v>1566</v>
      </c>
      <c r="J168" s="6"/>
      <c r="K168" s="6" t="s">
        <v>1562</v>
      </c>
      <c r="L168" s="6"/>
      <c r="M168" s="6" t="s">
        <v>5023</v>
      </c>
      <c r="N168" s="6">
        <v>49.7421206</v>
      </c>
      <c r="O168" s="6">
        <v>13.5957592</v>
      </c>
      <c r="P168" s="6"/>
      <c r="Q168" s="6"/>
      <c r="R168" s="6"/>
      <c r="S168" s="6"/>
      <c r="T168" s="6"/>
      <c r="U168" s="6"/>
      <c r="V168" s="6"/>
      <c r="W168" s="6"/>
      <c r="X168" s="6"/>
    </row>
    <row r="169" spans="1:36">
      <c r="A169" s="6">
        <v>177</v>
      </c>
      <c r="B169" s="6" t="s">
        <v>5024</v>
      </c>
      <c r="C169" s="6" t="s">
        <v>1442</v>
      </c>
      <c r="D169" s="6" t="s">
        <v>5025</v>
      </c>
      <c r="E169" s="12" t="s">
        <v>5026</v>
      </c>
      <c r="F169" s="6" t="s">
        <v>4170</v>
      </c>
      <c r="G169" s="6"/>
      <c r="H169" s="6"/>
      <c r="I169" s="6" t="s">
        <v>1446</v>
      </c>
      <c r="J169" s="6" t="s">
        <v>5027</v>
      </c>
      <c r="K169" s="12" t="s">
        <v>1442</v>
      </c>
      <c r="L169" s="6"/>
      <c r="M169" s="6" t="s">
        <v>5028</v>
      </c>
      <c r="N169" s="28">
        <v>49.318060799999998</v>
      </c>
      <c r="O169" s="28">
        <v>15.647136400000001</v>
      </c>
      <c r="P169" s="6"/>
      <c r="Q169" s="6"/>
      <c r="R169" s="6"/>
      <c r="S169" s="6"/>
      <c r="T169" s="6"/>
      <c r="U169" s="6"/>
      <c r="V169" s="6"/>
      <c r="W169" s="6"/>
      <c r="X169" s="6"/>
    </row>
    <row r="170" spans="1:36">
      <c r="A170" s="6">
        <v>178</v>
      </c>
      <c r="B170" s="6" t="s">
        <v>5029</v>
      </c>
      <c r="C170" s="6"/>
      <c r="D170" s="6" t="s">
        <v>1140</v>
      </c>
      <c r="E170" s="12" t="s">
        <v>5030</v>
      </c>
      <c r="F170" s="6" t="s">
        <v>4111</v>
      </c>
      <c r="G170" s="6"/>
      <c r="H170" s="6" t="s">
        <v>5031</v>
      </c>
      <c r="I170" s="6" t="s">
        <v>5032</v>
      </c>
      <c r="J170" s="6" t="s">
        <v>4111</v>
      </c>
      <c r="K170" s="12" t="s">
        <v>5033</v>
      </c>
      <c r="L170" s="6"/>
      <c r="M170" s="6" t="s">
        <v>5034</v>
      </c>
      <c r="N170" s="14">
        <v>49.748309999999996</v>
      </c>
      <c r="O170" s="14">
        <v>13.379020300000001</v>
      </c>
      <c r="P170" s="6"/>
      <c r="Q170" s="6"/>
      <c r="R170" s="6"/>
      <c r="S170" s="6"/>
      <c r="T170" s="6"/>
      <c r="U170" s="6"/>
      <c r="V170" s="6"/>
      <c r="W170" s="6"/>
      <c r="X170" s="6"/>
    </row>
    <row r="171" spans="1:36">
      <c r="A171" s="6">
        <v>179</v>
      </c>
      <c r="B171" s="6" t="s">
        <v>5035</v>
      </c>
      <c r="C171" s="6"/>
      <c r="D171" s="6" t="s">
        <v>5036</v>
      </c>
      <c r="E171" s="12" t="s">
        <v>5037</v>
      </c>
      <c r="F171" s="6" t="s">
        <v>4111</v>
      </c>
      <c r="G171" s="6" t="s">
        <v>5038</v>
      </c>
      <c r="H171" s="6" t="s">
        <v>5039</v>
      </c>
      <c r="I171" s="6" t="s">
        <v>5040</v>
      </c>
      <c r="J171" s="6" t="s">
        <v>5041</v>
      </c>
      <c r="K171" s="6" t="s">
        <v>5042</v>
      </c>
      <c r="L171" s="6"/>
      <c r="M171" s="6" t="s">
        <v>5043</v>
      </c>
      <c r="N171" s="14">
        <v>49.7915694</v>
      </c>
      <c r="O171" s="14">
        <v>18.405407799999999</v>
      </c>
      <c r="P171" s="6"/>
      <c r="Q171" s="6"/>
      <c r="R171" s="6"/>
      <c r="S171" s="6"/>
      <c r="T171" s="6"/>
      <c r="U171" s="6"/>
      <c r="V171" s="6"/>
      <c r="W171" s="6"/>
    </row>
    <row r="172" spans="1:36">
      <c r="A172" s="6">
        <v>180</v>
      </c>
      <c r="B172" s="6" t="s">
        <v>5045</v>
      </c>
      <c r="C172" s="6" t="s">
        <v>35</v>
      </c>
      <c r="D172" s="6" t="s">
        <v>68</v>
      </c>
      <c r="E172" s="12" t="s">
        <v>5046</v>
      </c>
      <c r="F172" s="6" t="s">
        <v>4170</v>
      </c>
      <c r="G172" s="6"/>
      <c r="H172" s="6" t="s">
        <v>5047</v>
      </c>
      <c r="I172" s="6" t="s">
        <v>41</v>
      </c>
      <c r="J172" s="6"/>
      <c r="K172" s="6" t="s">
        <v>35</v>
      </c>
      <c r="L172" s="6"/>
      <c r="M172" s="6" t="s">
        <v>5048</v>
      </c>
      <c r="N172" s="6">
        <v>50.768343899999998</v>
      </c>
      <c r="O172" s="6">
        <v>15.054219700000001</v>
      </c>
      <c r="P172" s="6"/>
      <c r="Q172" s="6"/>
      <c r="R172" s="6"/>
      <c r="S172" s="6"/>
      <c r="T172" s="6"/>
      <c r="U172" s="6"/>
      <c r="V172" s="6"/>
      <c r="W172" s="6"/>
    </row>
    <row r="173" spans="1:36">
      <c r="A173" s="6">
        <v>181</v>
      </c>
      <c r="B173" s="6" t="s">
        <v>5049</v>
      </c>
      <c r="C173" s="6" t="s">
        <v>497</v>
      </c>
      <c r="D173" s="6" t="s">
        <v>499</v>
      </c>
      <c r="E173" s="12" t="s">
        <v>5050</v>
      </c>
      <c r="F173" s="12" t="s">
        <v>4178</v>
      </c>
      <c r="G173" s="6" t="s">
        <v>5051</v>
      </c>
      <c r="H173" s="6"/>
      <c r="I173" s="6" t="s">
        <v>501</v>
      </c>
      <c r="J173" s="6"/>
      <c r="K173" s="6" t="s">
        <v>497</v>
      </c>
      <c r="L173" s="6"/>
      <c r="M173" s="6" t="s">
        <v>5052</v>
      </c>
      <c r="N173" s="6">
        <v>50.068450599999998</v>
      </c>
      <c r="O173" s="6">
        <v>16.927597800000001</v>
      </c>
      <c r="P173" s="6"/>
      <c r="Q173" s="6"/>
      <c r="R173" s="6"/>
      <c r="S173" s="6"/>
      <c r="T173" s="6"/>
      <c r="U173" s="6"/>
      <c r="V173" s="6"/>
      <c r="W173" s="6"/>
      <c r="Y173" s="6"/>
      <c r="Z173" s="6"/>
      <c r="AA173" s="6"/>
      <c r="AB173" s="6"/>
      <c r="AC173" s="6"/>
      <c r="AD173" s="6"/>
      <c r="AE173" s="6"/>
      <c r="AF173" s="6"/>
      <c r="AG173" s="6"/>
      <c r="AH173" s="6"/>
      <c r="AI173" s="6"/>
      <c r="AJ173" s="6"/>
    </row>
    <row r="174" spans="1:36">
      <c r="A174" s="6">
        <v>182</v>
      </c>
      <c r="B174" s="6" t="s">
        <v>5049</v>
      </c>
      <c r="C174" s="6" t="s">
        <v>634</v>
      </c>
      <c r="D174" s="6" t="s">
        <v>636</v>
      </c>
      <c r="E174" s="12" t="s">
        <v>637</v>
      </c>
      <c r="F174" s="12" t="s">
        <v>4178</v>
      </c>
      <c r="G174" s="6" t="s">
        <v>5053</v>
      </c>
      <c r="H174" s="6"/>
      <c r="I174" s="6" t="s">
        <v>640</v>
      </c>
      <c r="J174" s="6"/>
      <c r="K174" s="6" t="s">
        <v>634</v>
      </c>
      <c r="L174" s="6"/>
      <c r="M174" s="6" t="s">
        <v>5054</v>
      </c>
      <c r="N174" s="28">
        <v>49.397193600000001</v>
      </c>
      <c r="O174" s="28">
        <v>15.582905</v>
      </c>
      <c r="P174" s="6"/>
      <c r="Q174" s="6"/>
      <c r="R174" s="6"/>
      <c r="S174" s="6"/>
      <c r="T174" s="6"/>
      <c r="U174" s="6"/>
      <c r="V174" s="6"/>
      <c r="W174" s="6"/>
    </row>
    <row r="175" spans="1:36">
      <c r="A175" s="6">
        <v>183</v>
      </c>
      <c r="B175" s="6" t="s">
        <v>5049</v>
      </c>
      <c r="C175" s="6" t="s">
        <v>746</v>
      </c>
      <c r="D175" s="6" t="s">
        <v>748</v>
      </c>
      <c r="E175" s="12" t="s">
        <v>5055</v>
      </c>
      <c r="F175" s="12" t="s">
        <v>4178</v>
      </c>
      <c r="G175" s="6" t="s">
        <v>5056</v>
      </c>
      <c r="H175" s="6"/>
      <c r="I175" s="6" t="s">
        <v>750</v>
      </c>
      <c r="J175" s="6"/>
      <c r="K175" s="6" t="s">
        <v>746</v>
      </c>
      <c r="L175" s="6"/>
      <c r="M175" s="6" t="s">
        <v>5057</v>
      </c>
      <c r="N175" s="28">
        <v>50.750633100000002</v>
      </c>
      <c r="O175" s="28">
        <v>15.086506699999999</v>
      </c>
      <c r="P175" s="6"/>
      <c r="Q175" s="6"/>
      <c r="R175" s="6"/>
      <c r="S175" s="6"/>
      <c r="T175" s="6"/>
      <c r="U175" s="6"/>
      <c r="V175" s="6"/>
      <c r="W175" s="6"/>
    </row>
    <row r="176" spans="1:36">
      <c r="A176" s="6">
        <v>184</v>
      </c>
      <c r="B176" s="6" t="s">
        <v>5049</v>
      </c>
      <c r="C176" s="6" t="s">
        <v>899</v>
      </c>
      <c r="D176" s="6" t="s">
        <v>899</v>
      </c>
      <c r="E176" s="12" t="s">
        <v>901</v>
      </c>
      <c r="F176" s="12" t="s">
        <v>4178</v>
      </c>
      <c r="G176" s="6"/>
      <c r="H176" s="6"/>
      <c r="I176" s="6" t="s">
        <v>902</v>
      </c>
      <c r="J176" s="6"/>
      <c r="K176" s="6" t="s">
        <v>899</v>
      </c>
      <c r="L176" s="6"/>
      <c r="M176" s="6" t="s">
        <v>5058</v>
      </c>
      <c r="N176" s="6">
        <v>49.694884999999999</v>
      </c>
      <c r="O176" s="6">
        <v>17.0740336</v>
      </c>
      <c r="P176" s="6"/>
      <c r="Q176" s="6"/>
      <c r="R176" s="6"/>
      <c r="S176" s="6"/>
      <c r="T176" s="6"/>
      <c r="U176" s="6"/>
      <c r="V176" s="6"/>
      <c r="W176" s="6"/>
    </row>
    <row r="177" spans="1:36">
      <c r="A177" s="6">
        <v>185</v>
      </c>
      <c r="B177" s="12" t="s">
        <v>5059</v>
      </c>
      <c r="C177" s="6" t="s">
        <v>1196</v>
      </c>
      <c r="D177" s="6" t="s">
        <v>1198</v>
      </c>
      <c r="E177" s="12" t="s">
        <v>1199</v>
      </c>
      <c r="F177" s="12" t="s">
        <v>4178</v>
      </c>
      <c r="G177" s="6" t="s">
        <v>5060</v>
      </c>
      <c r="H177" s="6" t="s">
        <v>5061</v>
      </c>
      <c r="I177" s="6" t="s">
        <v>1200</v>
      </c>
      <c r="J177" s="6"/>
      <c r="K177" s="6" t="s">
        <v>1196</v>
      </c>
      <c r="L177" s="6"/>
      <c r="M177" s="6" t="s">
        <v>5062</v>
      </c>
      <c r="N177" s="6">
        <v>50.035504000000003</v>
      </c>
      <c r="O177" s="6">
        <v>15.762041</v>
      </c>
      <c r="P177" s="6"/>
      <c r="Q177" s="6"/>
      <c r="R177" s="6"/>
      <c r="S177" s="6"/>
      <c r="T177" s="6"/>
      <c r="U177" s="6"/>
      <c r="V177" s="6"/>
      <c r="W177" s="6"/>
      <c r="X177" s="6"/>
    </row>
    <row r="178" spans="1:36">
      <c r="A178" s="6">
        <v>186</v>
      </c>
      <c r="B178" s="6" t="s">
        <v>5049</v>
      </c>
      <c r="C178" s="6" t="s">
        <v>1495</v>
      </c>
      <c r="D178" s="6" t="s">
        <v>1497</v>
      </c>
      <c r="E178" s="12" t="s">
        <v>1498</v>
      </c>
      <c r="F178" s="12" t="s">
        <v>4178</v>
      </c>
      <c r="G178" s="6" t="s">
        <v>5063</v>
      </c>
      <c r="H178" s="6"/>
      <c r="I178" s="6" t="s">
        <v>1499</v>
      </c>
      <c r="J178" s="6"/>
      <c r="K178" s="6" t="s">
        <v>1495</v>
      </c>
      <c r="L178" s="6"/>
      <c r="M178" s="6" t="s">
        <v>5064</v>
      </c>
      <c r="N178" s="28">
        <v>50.610427799999997</v>
      </c>
      <c r="O178" s="28">
        <v>15.148696899999999</v>
      </c>
      <c r="P178" s="6"/>
      <c r="Q178" s="6"/>
      <c r="R178" s="6"/>
      <c r="S178" s="6"/>
      <c r="T178" s="6"/>
      <c r="U178" s="6"/>
      <c r="V178" s="6"/>
      <c r="W178" s="6"/>
    </row>
    <row r="179" spans="1:36">
      <c r="A179" s="6">
        <v>187</v>
      </c>
      <c r="B179" s="6" t="s">
        <v>5049</v>
      </c>
      <c r="C179" s="6" t="s">
        <v>1537</v>
      </c>
      <c r="D179" s="6" t="s">
        <v>1018</v>
      </c>
      <c r="E179" s="12" t="s">
        <v>5065</v>
      </c>
      <c r="F179" s="12" t="s">
        <v>4178</v>
      </c>
      <c r="G179" s="6" t="s">
        <v>5066</v>
      </c>
      <c r="H179" s="6" t="s">
        <v>5067</v>
      </c>
      <c r="I179" s="6" t="s">
        <v>1541</v>
      </c>
      <c r="J179" s="6"/>
      <c r="K179" s="6" t="s">
        <v>1537</v>
      </c>
      <c r="L179" s="6"/>
      <c r="M179" s="6" t="s">
        <v>5068</v>
      </c>
      <c r="N179" s="6">
        <v>49.190966099999997</v>
      </c>
      <c r="O179" s="6">
        <v>16.592769700000002</v>
      </c>
      <c r="P179" s="6"/>
      <c r="Q179" s="6"/>
      <c r="R179" s="6"/>
      <c r="S179" s="6"/>
      <c r="T179" s="6"/>
      <c r="U179" s="6"/>
      <c r="V179" s="6"/>
      <c r="W179" s="6"/>
    </row>
    <row r="180" spans="1:36">
      <c r="A180" s="6">
        <v>188</v>
      </c>
      <c r="B180" s="6" t="s">
        <v>5049</v>
      </c>
      <c r="C180" s="6" t="s">
        <v>1631</v>
      </c>
      <c r="D180" s="6" t="s">
        <v>1631</v>
      </c>
      <c r="E180" s="12" t="s">
        <v>1633</v>
      </c>
      <c r="F180" s="12" t="s">
        <v>4178</v>
      </c>
      <c r="G180" s="6" t="s">
        <v>5069</v>
      </c>
      <c r="H180" s="6"/>
      <c r="I180" s="6" t="s">
        <v>1634</v>
      </c>
      <c r="J180" s="6"/>
      <c r="K180" s="6" t="s">
        <v>1631</v>
      </c>
      <c r="L180" s="6"/>
      <c r="M180" s="6" t="s">
        <v>5070</v>
      </c>
      <c r="N180" s="28">
        <v>50.573204199999999</v>
      </c>
      <c r="O180" s="28">
        <v>15.0542678</v>
      </c>
      <c r="P180" s="6"/>
      <c r="Q180" s="6"/>
      <c r="R180" s="6"/>
      <c r="S180" s="6"/>
      <c r="T180" s="6"/>
      <c r="U180" s="6"/>
      <c r="V180" s="6"/>
      <c r="W180" s="6"/>
      <c r="X180" s="6"/>
    </row>
    <row r="181" spans="1:36">
      <c r="A181" s="6">
        <v>189</v>
      </c>
      <c r="B181" s="6" t="s">
        <v>5071</v>
      </c>
      <c r="C181" s="6"/>
      <c r="D181" s="6" t="s">
        <v>208</v>
      </c>
      <c r="E181" s="12" t="s">
        <v>5072</v>
      </c>
      <c r="F181" s="6" t="s">
        <v>4111</v>
      </c>
      <c r="G181" s="6" t="s">
        <v>5073</v>
      </c>
      <c r="H181" s="6" t="s">
        <v>5074</v>
      </c>
      <c r="I181" s="6" t="s">
        <v>5075</v>
      </c>
      <c r="J181" s="6" t="s">
        <v>4111</v>
      </c>
      <c r="K181" s="12" t="s">
        <v>5076</v>
      </c>
      <c r="L181" s="6"/>
      <c r="M181" s="6" t="s">
        <v>5077</v>
      </c>
      <c r="N181" s="14">
        <v>50.210313900000003</v>
      </c>
      <c r="O181" s="14">
        <v>15.83098246</v>
      </c>
      <c r="P181" s="6"/>
      <c r="Q181" s="6"/>
      <c r="R181" s="6"/>
      <c r="S181" s="6"/>
      <c r="T181" s="6"/>
      <c r="U181" s="6"/>
      <c r="V181" s="6"/>
      <c r="W181" s="6"/>
    </row>
    <row r="182" spans="1:36">
      <c r="A182" s="6">
        <v>190</v>
      </c>
      <c r="B182" s="12" t="s">
        <v>5078</v>
      </c>
      <c r="C182" s="6" t="s">
        <v>755</v>
      </c>
      <c r="D182" s="6" t="s">
        <v>757</v>
      </c>
      <c r="E182" s="12" t="s">
        <v>5079</v>
      </c>
      <c r="F182" s="6" t="s">
        <v>4150</v>
      </c>
      <c r="G182" s="6" t="s">
        <v>5080</v>
      </c>
      <c r="H182" s="6"/>
      <c r="I182" s="6" t="s">
        <v>759</v>
      </c>
      <c r="J182" s="6"/>
      <c r="K182" s="6" t="s">
        <v>755</v>
      </c>
      <c r="L182" s="6"/>
      <c r="M182" s="6" t="s">
        <v>5081</v>
      </c>
      <c r="N182" s="6">
        <v>50.108823299999997</v>
      </c>
      <c r="O182" s="6">
        <v>14.854044200000001</v>
      </c>
      <c r="P182" s="6"/>
      <c r="Q182" s="6"/>
      <c r="R182" s="6"/>
      <c r="S182" s="6"/>
      <c r="T182" s="6"/>
      <c r="U182" s="6"/>
      <c r="V182" s="6"/>
      <c r="W182" s="6"/>
    </row>
    <row r="183" spans="1:36">
      <c r="A183" s="6">
        <v>191</v>
      </c>
      <c r="B183" s="6" t="s">
        <v>5082</v>
      </c>
      <c r="C183" s="6" t="s">
        <v>3090</v>
      </c>
      <c r="D183" s="6" t="s">
        <v>1034</v>
      </c>
      <c r="E183" s="12" t="s">
        <v>5083</v>
      </c>
      <c r="F183" s="6" t="s">
        <v>4170</v>
      </c>
      <c r="G183" s="6"/>
      <c r="H183" s="6"/>
      <c r="I183" s="6" t="s">
        <v>3094</v>
      </c>
      <c r="J183" s="6"/>
      <c r="K183" s="6" t="s">
        <v>3090</v>
      </c>
      <c r="L183" s="6"/>
      <c r="M183" s="6" t="s">
        <v>5084</v>
      </c>
      <c r="N183" s="28">
        <v>49.5761039</v>
      </c>
      <c r="O183" s="28">
        <v>17.248649400000001</v>
      </c>
      <c r="P183" s="6"/>
      <c r="Q183" s="6"/>
      <c r="R183" s="6"/>
      <c r="S183" s="6"/>
      <c r="T183" s="6"/>
      <c r="U183" s="6"/>
      <c r="V183" s="6"/>
      <c r="W183" s="6"/>
      <c r="Y183" s="6"/>
      <c r="Z183" s="6"/>
      <c r="AA183" s="6"/>
      <c r="AB183" s="6"/>
      <c r="AC183" s="6"/>
      <c r="AD183" s="6"/>
      <c r="AE183" s="6"/>
      <c r="AF183" s="6"/>
      <c r="AG183" s="6"/>
      <c r="AH183" s="6"/>
      <c r="AI183" s="6"/>
      <c r="AJ183" s="6"/>
    </row>
    <row r="184" spans="1:36">
      <c r="A184" s="6">
        <v>192</v>
      </c>
      <c r="B184" s="6" t="s">
        <v>1366</v>
      </c>
      <c r="C184" s="6" t="s">
        <v>1360</v>
      </c>
      <c r="D184" s="6" t="s">
        <v>1360</v>
      </c>
      <c r="E184" s="12" t="s">
        <v>5085</v>
      </c>
      <c r="F184" s="6" t="s">
        <v>4150</v>
      </c>
      <c r="G184" s="6"/>
      <c r="H184" s="6" t="s">
        <v>5086</v>
      </c>
      <c r="I184" s="6" t="s">
        <v>1364</v>
      </c>
      <c r="J184" s="6"/>
      <c r="K184" s="6" t="s">
        <v>1360</v>
      </c>
      <c r="L184" s="6"/>
      <c r="M184" s="6" t="s">
        <v>5087</v>
      </c>
      <c r="N184" s="28">
        <v>49.857378300000001</v>
      </c>
      <c r="O184" s="28">
        <v>13.6013492</v>
      </c>
      <c r="P184" s="6"/>
      <c r="Q184" s="6"/>
      <c r="R184" s="6"/>
      <c r="S184" s="6"/>
      <c r="T184" s="6"/>
      <c r="U184" s="6"/>
      <c r="V184" s="6"/>
      <c r="W184" s="6"/>
      <c r="X184" s="6"/>
    </row>
    <row r="185" spans="1:36">
      <c r="A185" s="6">
        <v>193</v>
      </c>
      <c r="B185" s="6" t="s">
        <v>2984</v>
      </c>
      <c r="C185" s="6" t="s">
        <v>2977</v>
      </c>
      <c r="D185" s="6" t="s">
        <v>2979</v>
      </c>
      <c r="E185" s="12" t="s">
        <v>5088</v>
      </c>
      <c r="F185" s="6" t="s">
        <v>4150</v>
      </c>
      <c r="G185" s="6" t="s">
        <v>5089</v>
      </c>
      <c r="H185" s="6" t="s">
        <v>5090</v>
      </c>
      <c r="I185" s="6" t="s">
        <v>2981</v>
      </c>
      <c r="J185" s="6"/>
      <c r="K185" s="6" t="s">
        <v>2977</v>
      </c>
      <c r="L185" s="6"/>
      <c r="M185" s="6" t="s">
        <v>5091</v>
      </c>
      <c r="N185" s="6">
        <v>50.0296892</v>
      </c>
      <c r="O185" s="6">
        <v>14.605197499999999</v>
      </c>
      <c r="P185" s="6"/>
      <c r="Q185" s="6"/>
      <c r="R185" s="6"/>
      <c r="S185" s="6"/>
      <c r="T185" s="6"/>
      <c r="U185" s="6"/>
      <c r="V185" s="6"/>
      <c r="W185" s="6"/>
      <c r="X185" s="6"/>
    </row>
    <row r="186" spans="1:36">
      <c r="A186" s="6">
        <v>194</v>
      </c>
      <c r="B186" s="6" t="s">
        <v>5092</v>
      </c>
      <c r="C186" s="6"/>
      <c r="D186" s="6" t="s">
        <v>5093</v>
      </c>
      <c r="E186" s="12" t="s">
        <v>5094</v>
      </c>
      <c r="F186" s="6" t="s">
        <v>4111</v>
      </c>
      <c r="G186" s="6"/>
      <c r="H186" s="6" t="s">
        <v>5095</v>
      </c>
      <c r="I186" s="6" t="s">
        <v>5096</v>
      </c>
      <c r="J186" s="6"/>
      <c r="K186" s="6" t="s">
        <v>1426</v>
      </c>
      <c r="L186" s="6"/>
      <c r="M186" s="6" t="s">
        <v>5097</v>
      </c>
      <c r="N186" s="14">
        <v>49.866918599999998</v>
      </c>
      <c r="O186" s="14">
        <v>17.8727208</v>
      </c>
      <c r="P186" s="6"/>
      <c r="Q186" s="6"/>
      <c r="R186" s="6"/>
      <c r="S186" s="6"/>
      <c r="T186" s="6"/>
      <c r="U186" s="6"/>
      <c r="V186" s="6"/>
      <c r="W186" s="6"/>
    </row>
    <row r="187" spans="1:36">
      <c r="A187" s="6">
        <v>195</v>
      </c>
      <c r="B187" s="6" t="s">
        <v>5098</v>
      </c>
      <c r="C187" s="6" t="s">
        <v>1401</v>
      </c>
      <c r="D187" s="6" t="s">
        <v>1403</v>
      </c>
      <c r="E187" s="12" t="s">
        <v>1404</v>
      </c>
      <c r="F187" s="12" t="s">
        <v>4178</v>
      </c>
      <c r="G187" s="6" t="s">
        <v>5099</v>
      </c>
      <c r="H187" s="6"/>
      <c r="I187" s="6" t="s">
        <v>1405</v>
      </c>
      <c r="J187" s="6"/>
      <c r="K187" s="6" t="s">
        <v>1401</v>
      </c>
      <c r="L187" s="6"/>
      <c r="M187" s="6" t="s">
        <v>5100</v>
      </c>
      <c r="N187" s="28">
        <v>49.002629399999996</v>
      </c>
      <c r="O187" s="28">
        <v>14.7722917</v>
      </c>
      <c r="P187" s="6"/>
      <c r="Q187" s="6"/>
      <c r="R187" s="6"/>
      <c r="S187" s="6"/>
      <c r="T187" s="6"/>
      <c r="U187" s="6"/>
      <c r="V187" s="6"/>
      <c r="W187" s="6"/>
      <c r="X187" s="6"/>
    </row>
    <row r="188" spans="1:36">
      <c r="A188" s="6">
        <v>196</v>
      </c>
      <c r="B188" s="6" t="s">
        <v>5101</v>
      </c>
      <c r="C188" s="6" t="s">
        <v>1735</v>
      </c>
      <c r="D188" s="6" t="s">
        <v>1737</v>
      </c>
      <c r="E188" s="12" t="s">
        <v>5102</v>
      </c>
      <c r="F188" s="6" t="s">
        <v>4150</v>
      </c>
      <c r="G188" s="6" t="s">
        <v>5103</v>
      </c>
      <c r="H188" s="6" t="s">
        <v>5104</v>
      </c>
      <c r="I188" s="6" t="s">
        <v>1739</v>
      </c>
      <c r="J188" s="6"/>
      <c r="K188" s="6" t="s">
        <v>1735</v>
      </c>
      <c r="L188" s="6"/>
      <c r="M188" s="12" t="s">
        <v>5105</v>
      </c>
      <c r="N188" s="6">
        <v>50.149127200000002</v>
      </c>
      <c r="O188" s="6">
        <v>14.354358100000001</v>
      </c>
      <c r="P188" s="6"/>
      <c r="Q188" s="6"/>
      <c r="R188" s="6"/>
      <c r="S188" s="6"/>
      <c r="T188" s="6"/>
      <c r="U188" s="6"/>
      <c r="V188" s="6"/>
      <c r="W188" s="6"/>
      <c r="X188" s="6"/>
    </row>
    <row r="189" spans="1:36">
      <c r="A189" s="6">
        <v>197</v>
      </c>
      <c r="B189" s="6" t="s">
        <v>133</v>
      </c>
      <c r="C189" s="6" t="s">
        <v>135</v>
      </c>
      <c r="D189" s="6" t="s">
        <v>135</v>
      </c>
      <c r="E189" s="12" t="s">
        <v>137</v>
      </c>
      <c r="F189" s="12" t="s">
        <v>4178</v>
      </c>
      <c r="G189" s="6" t="s">
        <v>140</v>
      </c>
      <c r="H189" s="6" t="s">
        <v>141</v>
      </c>
      <c r="I189" s="6" t="s">
        <v>142</v>
      </c>
      <c r="J189" s="6"/>
      <c r="K189" s="6" t="s">
        <v>135</v>
      </c>
      <c r="L189" s="6"/>
      <c r="M189" s="6" t="s">
        <v>143</v>
      </c>
      <c r="N189" s="28">
        <v>49.610225</v>
      </c>
      <c r="O189" s="28">
        <v>15.5777731</v>
      </c>
      <c r="P189" s="6"/>
      <c r="Q189" s="6"/>
      <c r="R189" s="6"/>
      <c r="S189" s="6"/>
      <c r="T189" s="6"/>
      <c r="U189" s="6"/>
      <c r="V189" s="6"/>
      <c r="W189" s="6"/>
    </row>
    <row r="190" spans="1:36">
      <c r="A190" s="6">
        <v>198</v>
      </c>
      <c r="B190" s="6" t="s">
        <v>5106</v>
      </c>
      <c r="C190" s="6" t="s">
        <v>1332</v>
      </c>
      <c r="D190" s="6" t="s">
        <v>59</v>
      </c>
      <c r="E190" s="12" t="s">
        <v>5107</v>
      </c>
      <c r="F190" s="6" t="s">
        <v>4150</v>
      </c>
      <c r="G190" s="6" t="s">
        <v>5108</v>
      </c>
      <c r="H190" s="6" t="s">
        <v>5109</v>
      </c>
      <c r="I190" s="6" t="s">
        <v>1650</v>
      </c>
      <c r="J190" s="6"/>
      <c r="K190" s="6" t="s">
        <v>1332</v>
      </c>
      <c r="L190" s="6"/>
      <c r="M190" s="6" t="s">
        <v>5110</v>
      </c>
      <c r="N190" s="28">
        <v>50.090573900000003</v>
      </c>
      <c r="O190" s="28">
        <v>14.4414997</v>
      </c>
      <c r="P190" s="6"/>
      <c r="Q190" s="6"/>
      <c r="R190" s="6"/>
      <c r="S190" s="6"/>
      <c r="T190" s="6"/>
      <c r="U190" s="6"/>
      <c r="V190" s="6"/>
      <c r="W190" s="6"/>
      <c r="X190" s="6"/>
    </row>
    <row r="191" spans="1:36">
      <c r="A191" s="6">
        <v>199</v>
      </c>
      <c r="B191" s="6" t="s">
        <v>5111</v>
      </c>
      <c r="C191" s="6"/>
      <c r="D191" s="6" t="s">
        <v>1140</v>
      </c>
      <c r="E191" s="12" t="s">
        <v>5112</v>
      </c>
      <c r="F191" s="6" t="s">
        <v>4111</v>
      </c>
      <c r="G191" s="6" t="s">
        <v>5113</v>
      </c>
      <c r="H191" s="6" t="s">
        <v>5114</v>
      </c>
      <c r="I191" s="6" t="s">
        <v>5115</v>
      </c>
      <c r="J191" s="6" t="s">
        <v>4111</v>
      </c>
      <c r="K191" s="12" t="s">
        <v>4115</v>
      </c>
      <c r="L191" s="6"/>
      <c r="M191" s="6" t="s">
        <v>5116</v>
      </c>
      <c r="N191" s="14">
        <v>49.745681900000001</v>
      </c>
      <c r="O191" s="14">
        <v>13.374420799999999</v>
      </c>
      <c r="P191" s="6"/>
      <c r="Q191" s="6"/>
      <c r="R191" s="6"/>
      <c r="S191" s="6"/>
      <c r="T191" s="6"/>
      <c r="U191" s="6"/>
      <c r="V191" s="6"/>
      <c r="W191" s="6"/>
      <c r="X191" s="6"/>
    </row>
    <row r="192" spans="1:36">
      <c r="A192" s="6">
        <v>200</v>
      </c>
      <c r="B192" s="6" t="s">
        <v>5117</v>
      </c>
      <c r="C192" s="6"/>
      <c r="D192" s="6" t="s">
        <v>3972</v>
      </c>
      <c r="E192" s="12" t="s">
        <v>5118</v>
      </c>
      <c r="F192" s="6" t="s">
        <v>4111</v>
      </c>
      <c r="G192" s="6" t="s">
        <v>5119</v>
      </c>
      <c r="H192" s="6" t="s">
        <v>5120</v>
      </c>
      <c r="I192" s="6" t="s">
        <v>5121</v>
      </c>
      <c r="J192" s="6" t="s">
        <v>118</v>
      </c>
      <c r="K192" s="12" t="s">
        <v>4115</v>
      </c>
      <c r="L192" s="6"/>
      <c r="M192" s="6" t="s">
        <v>5122</v>
      </c>
      <c r="N192" s="28">
        <v>50.126784200000003</v>
      </c>
      <c r="O192" s="28">
        <v>14.447549199999999</v>
      </c>
      <c r="P192" s="6"/>
      <c r="Q192" s="6"/>
      <c r="R192" s="6"/>
      <c r="S192" s="6"/>
      <c r="T192" s="6"/>
      <c r="U192" s="6"/>
      <c r="V192" s="6"/>
      <c r="W192" s="6"/>
      <c r="X192" s="6"/>
      <c r="Z192" s="9" t="s">
        <v>47</v>
      </c>
    </row>
    <row r="193" spans="1:36">
      <c r="A193" s="6">
        <v>201</v>
      </c>
      <c r="B193" s="6" t="s">
        <v>5123</v>
      </c>
      <c r="C193" s="6" t="s">
        <v>2887</v>
      </c>
      <c r="D193" s="6" t="s">
        <v>2889</v>
      </c>
      <c r="E193" s="12" t="s">
        <v>5124</v>
      </c>
      <c r="F193" s="6" t="s">
        <v>4170</v>
      </c>
      <c r="G193" s="6"/>
      <c r="H193" s="6" t="s">
        <v>5125</v>
      </c>
      <c r="I193" s="6" t="s">
        <v>2891</v>
      </c>
      <c r="J193" s="6"/>
      <c r="K193" s="6" t="s">
        <v>2887</v>
      </c>
      <c r="L193" s="6"/>
      <c r="M193" s="6" t="s">
        <v>5126</v>
      </c>
      <c r="N193" s="28">
        <v>49.723861100000001</v>
      </c>
      <c r="O193" s="28">
        <v>13.622973099999999</v>
      </c>
      <c r="P193" s="6"/>
      <c r="Q193" s="6"/>
      <c r="R193" s="6"/>
      <c r="S193" s="6"/>
      <c r="T193" s="6"/>
      <c r="U193" s="6"/>
      <c r="V193" s="6"/>
      <c r="W193" s="6"/>
    </row>
    <row r="194" spans="1:36">
      <c r="A194" s="6">
        <v>202</v>
      </c>
      <c r="B194" s="6" t="s">
        <v>5127</v>
      </c>
      <c r="C194" s="6" t="s">
        <v>2762</v>
      </c>
      <c r="D194" s="6" t="s">
        <v>2764</v>
      </c>
      <c r="E194" s="12" t="s">
        <v>5128</v>
      </c>
      <c r="F194" s="6" t="s">
        <v>4170</v>
      </c>
      <c r="G194" s="6"/>
      <c r="H194" s="6" t="s">
        <v>5129</v>
      </c>
      <c r="I194" s="6" t="s">
        <v>2766</v>
      </c>
      <c r="J194" s="6"/>
      <c r="K194" s="6" t="s">
        <v>2762</v>
      </c>
      <c r="L194" s="6"/>
      <c r="M194" s="6" t="s">
        <v>5130</v>
      </c>
      <c r="N194" s="28">
        <v>50.089012199999999</v>
      </c>
      <c r="O194" s="28">
        <v>17.700805599999999</v>
      </c>
      <c r="P194" s="6"/>
      <c r="Q194" s="6"/>
      <c r="R194" s="6"/>
      <c r="S194" s="6"/>
      <c r="T194" s="6"/>
      <c r="U194" s="6"/>
      <c r="V194" s="6"/>
      <c r="W194" s="6"/>
    </row>
    <row r="195" spans="1:36">
      <c r="A195" s="6">
        <v>203</v>
      </c>
      <c r="B195" s="12" t="s">
        <v>5131</v>
      </c>
      <c r="C195" s="6" t="s">
        <v>4180</v>
      </c>
      <c r="D195" s="6" t="s">
        <v>208</v>
      </c>
      <c r="E195" s="12" t="s">
        <v>5132</v>
      </c>
      <c r="F195" s="6" t="s">
        <v>4178</v>
      </c>
      <c r="G195" s="6" t="s">
        <v>5133</v>
      </c>
      <c r="H195" s="6" t="s">
        <v>5134</v>
      </c>
      <c r="I195" s="6" t="s">
        <v>1302</v>
      </c>
      <c r="J195" s="6"/>
      <c r="K195" s="6" t="s">
        <v>4180</v>
      </c>
      <c r="L195" s="6"/>
      <c r="M195" s="6" t="s">
        <v>5135</v>
      </c>
      <c r="N195" s="6">
        <v>50.212490600000002</v>
      </c>
      <c r="O195" s="6">
        <v>15.835311900000001</v>
      </c>
      <c r="P195" s="6"/>
      <c r="Q195" s="6"/>
      <c r="R195" s="6"/>
      <c r="S195" s="6"/>
      <c r="T195" s="6"/>
      <c r="U195" s="6"/>
      <c r="V195" s="6"/>
      <c r="W195" s="6"/>
      <c r="Y195" s="6"/>
      <c r="Z195" s="6"/>
      <c r="AA195" s="6"/>
      <c r="AB195" s="6"/>
      <c r="AC195" s="6"/>
      <c r="AD195" s="6"/>
      <c r="AE195" s="6"/>
      <c r="AF195" s="6"/>
      <c r="AG195" s="6"/>
      <c r="AH195" s="6"/>
      <c r="AI195" s="6"/>
      <c r="AJ195" s="6"/>
    </row>
    <row r="196" spans="1:36">
      <c r="A196" s="6">
        <v>204</v>
      </c>
      <c r="B196" s="6" t="s">
        <v>5136</v>
      </c>
      <c r="C196" s="6" t="s">
        <v>5137</v>
      </c>
      <c r="D196" s="6" t="s">
        <v>256</v>
      </c>
      <c r="E196" s="12" t="s">
        <v>5138</v>
      </c>
      <c r="F196" s="6" t="s">
        <v>4178</v>
      </c>
      <c r="G196" s="6"/>
      <c r="H196" s="6" t="s">
        <v>5139</v>
      </c>
      <c r="I196" s="6" t="s">
        <v>261</v>
      </c>
      <c r="J196" s="6"/>
      <c r="K196" s="6" t="s">
        <v>5140</v>
      </c>
      <c r="L196" s="6"/>
      <c r="M196" s="6" t="s">
        <v>5141</v>
      </c>
      <c r="N196" s="28">
        <v>48.760427200000002</v>
      </c>
      <c r="O196" s="28">
        <v>16.875615799999999</v>
      </c>
      <c r="P196" s="6"/>
      <c r="Q196" s="6"/>
      <c r="R196" s="6"/>
      <c r="S196" s="6"/>
      <c r="T196" s="6"/>
      <c r="U196" s="6"/>
      <c r="V196" s="6"/>
      <c r="W196" s="6"/>
      <c r="Y196" s="6"/>
      <c r="Z196" s="6"/>
      <c r="AA196" s="6"/>
      <c r="AB196" s="6"/>
      <c r="AC196" s="6"/>
      <c r="AD196" s="6"/>
      <c r="AE196" s="6"/>
      <c r="AF196" s="6"/>
      <c r="AG196" s="6"/>
      <c r="AH196" s="6"/>
      <c r="AI196" s="6"/>
      <c r="AJ196" s="6"/>
    </row>
    <row r="197" spans="1:36">
      <c r="A197" s="6">
        <v>205</v>
      </c>
      <c r="B197" s="6" t="s">
        <v>5142</v>
      </c>
      <c r="C197" s="6" t="s">
        <v>1554</v>
      </c>
      <c r="D197" s="6" t="s">
        <v>1556</v>
      </c>
      <c r="E197" s="12" t="s">
        <v>1557</v>
      </c>
      <c r="F197" s="12" t="s">
        <v>4178</v>
      </c>
      <c r="G197" s="6" t="s">
        <v>5143</v>
      </c>
      <c r="H197" s="6" t="s">
        <v>5144</v>
      </c>
      <c r="I197" s="6" t="s">
        <v>1558</v>
      </c>
      <c r="J197" s="6"/>
      <c r="K197" s="6" t="s">
        <v>1554</v>
      </c>
      <c r="L197" s="6"/>
      <c r="M197" s="6" t="s">
        <v>5145</v>
      </c>
      <c r="N197" s="6">
        <v>50.068545</v>
      </c>
      <c r="O197" s="6">
        <v>14.406554</v>
      </c>
      <c r="P197" s="6"/>
      <c r="Q197" s="6"/>
      <c r="R197" s="6"/>
      <c r="S197" s="6"/>
      <c r="T197" s="6"/>
      <c r="U197" s="6"/>
      <c r="V197" s="6"/>
      <c r="W197" s="6"/>
      <c r="X197" s="6"/>
    </row>
    <row r="198" spans="1:36">
      <c r="A198" s="6">
        <v>206</v>
      </c>
      <c r="B198" s="10" t="s">
        <v>5146</v>
      </c>
      <c r="C198" s="6"/>
      <c r="D198" s="6" t="s">
        <v>2602</v>
      </c>
      <c r="E198" s="12" t="s">
        <v>5148</v>
      </c>
      <c r="F198" s="6" t="s">
        <v>4111</v>
      </c>
      <c r="G198" s="6" t="s">
        <v>5149</v>
      </c>
      <c r="H198" s="6"/>
      <c r="I198" s="6" t="s">
        <v>5150</v>
      </c>
      <c r="J198" s="6" t="s">
        <v>4111</v>
      </c>
      <c r="K198" s="12" t="s">
        <v>4115</v>
      </c>
      <c r="L198" s="6"/>
      <c r="M198" s="6" t="s">
        <v>5151</v>
      </c>
      <c r="N198" s="14">
        <v>50.074454699999997</v>
      </c>
      <c r="O198" s="14">
        <v>14.436456400000001</v>
      </c>
      <c r="P198" s="6"/>
      <c r="Q198" s="6"/>
      <c r="R198" s="6"/>
      <c r="S198" s="6"/>
      <c r="T198" s="6"/>
      <c r="U198" s="6"/>
      <c r="V198" s="6"/>
      <c r="W198" s="6"/>
      <c r="X198" s="6"/>
    </row>
    <row r="199" spans="1:36">
      <c r="A199" s="6">
        <v>207</v>
      </c>
      <c r="B199" s="10" t="s">
        <v>5152</v>
      </c>
      <c r="C199" s="6"/>
      <c r="D199" s="6" t="s">
        <v>711</v>
      </c>
      <c r="E199" s="12" t="s">
        <v>5153</v>
      </c>
      <c r="F199" s="6" t="s">
        <v>4111</v>
      </c>
      <c r="G199" s="6" t="s">
        <v>5149</v>
      </c>
      <c r="H199" s="6" t="s">
        <v>5154</v>
      </c>
      <c r="I199" s="6" t="s">
        <v>5150</v>
      </c>
      <c r="J199" s="6" t="s">
        <v>4111</v>
      </c>
      <c r="K199" s="12" t="s">
        <v>4115</v>
      </c>
      <c r="L199" s="6"/>
      <c r="M199" s="6" t="s">
        <v>5155</v>
      </c>
      <c r="N199" s="14">
        <v>50.085011399999999</v>
      </c>
      <c r="O199" s="14">
        <v>14.413985</v>
      </c>
      <c r="P199" s="6"/>
      <c r="Q199" s="6"/>
      <c r="R199" s="6"/>
      <c r="S199" s="6"/>
      <c r="T199" s="6"/>
      <c r="U199" s="6"/>
      <c r="V199" s="6"/>
      <c r="W199" s="6"/>
      <c r="X199" s="6"/>
    </row>
    <row r="200" spans="1:36">
      <c r="A200" s="6">
        <v>208</v>
      </c>
      <c r="B200" s="6" t="s">
        <v>5156</v>
      </c>
      <c r="C200" s="6" t="s">
        <v>2360</v>
      </c>
      <c r="D200" s="6" t="s">
        <v>1018</v>
      </c>
      <c r="E200" s="12" t="s">
        <v>5157</v>
      </c>
      <c r="F200" s="6" t="s">
        <v>4150</v>
      </c>
      <c r="G200" s="6" t="s">
        <v>5158</v>
      </c>
      <c r="H200" s="6" t="s">
        <v>5159</v>
      </c>
      <c r="I200" s="6" t="s">
        <v>2364</v>
      </c>
      <c r="J200" s="6"/>
      <c r="K200" s="6" t="s">
        <v>2360</v>
      </c>
      <c r="L200" s="6"/>
      <c r="M200" s="6" t="s">
        <v>5160</v>
      </c>
      <c r="N200" s="28">
        <v>49.200022799999999</v>
      </c>
      <c r="O200" s="28">
        <v>16.6106178</v>
      </c>
      <c r="P200" s="6"/>
      <c r="Q200" s="6"/>
      <c r="R200" s="6"/>
      <c r="S200" s="6"/>
      <c r="T200" s="6"/>
      <c r="U200" s="6"/>
      <c r="V200" s="6"/>
      <c r="W200" s="6"/>
      <c r="Y200" s="6"/>
      <c r="Z200" s="6"/>
      <c r="AA200" s="6"/>
      <c r="AB200" s="6"/>
      <c r="AC200" s="6"/>
      <c r="AD200" s="6"/>
      <c r="AE200" s="6"/>
      <c r="AF200" s="6"/>
      <c r="AG200" s="6"/>
      <c r="AH200" s="6"/>
      <c r="AI200" s="6"/>
      <c r="AJ200" s="6"/>
    </row>
    <row r="201" spans="1:36">
      <c r="A201" s="6">
        <v>209</v>
      </c>
      <c r="B201" s="10" t="s">
        <v>5161</v>
      </c>
      <c r="C201" s="6"/>
      <c r="D201" s="6" t="s">
        <v>5162</v>
      </c>
      <c r="E201" s="12" t="s">
        <v>5163</v>
      </c>
      <c r="F201" s="6" t="s">
        <v>4111</v>
      </c>
      <c r="G201" s="6" t="s">
        <v>5164</v>
      </c>
      <c r="H201" s="6" t="s">
        <v>5165</v>
      </c>
      <c r="I201" s="6" t="s">
        <v>5166</v>
      </c>
      <c r="J201" s="6" t="s">
        <v>4111</v>
      </c>
      <c r="K201" s="12" t="s">
        <v>4115</v>
      </c>
      <c r="L201" s="6"/>
      <c r="M201" s="6" t="s">
        <v>5167</v>
      </c>
      <c r="N201" s="14">
        <v>50.050500300000003</v>
      </c>
      <c r="O201" s="14">
        <v>14.4819344</v>
      </c>
      <c r="P201" s="6"/>
      <c r="Q201" s="6"/>
      <c r="R201" s="6"/>
      <c r="S201" s="6"/>
      <c r="T201" s="6"/>
      <c r="U201" s="6"/>
      <c r="V201" s="6"/>
      <c r="W201" s="6"/>
      <c r="X201" s="6"/>
    </row>
    <row r="202" spans="1:36">
      <c r="A202" s="6">
        <v>210</v>
      </c>
      <c r="B202" s="6" t="s">
        <v>5168</v>
      </c>
      <c r="C202" s="6" t="s">
        <v>2052</v>
      </c>
      <c r="D202" s="6" t="s">
        <v>5169</v>
      </c>
      <c r="E202" s="12" t="s">
        <v>5170</v>
      </c>
      <c r="F202" s="6" t="s">
        <v>4150</v>
      </c>
      <c r="G202" s="6"/>
      <c r="H202" s="6" t="s">
        <v>5171</v>
      </c>
      <c r="I202" s="6" t="s">
        <v>2056</v>
      </c>
      <c r="J202" s="6"/>
      <c r="K202" s="6" t="s">
        <v>2052</v>
      </c>
      <c r="L202" s="6"/>
      <c r="M202" s="6" t="s">
        <v>5172</v>
      </c>
      <c r="N202" s="28">
        <v>49.710591100000002</v>
      </c>
      <c r="O202" s="28">
        <v>18.5304678</v>
      </c>
      <c r="P202" s="6"/>
      <c r="Q202" s="6"/>
      <c r="R202" s="6"/>
      <c r="S202" s="6"/>
      <c r="T202" s="6"/>
      <c r="U202" s="6"/>
      <c r="V202" s="6"/>
      <c r="W202" s="6"/>
      <c r="X202" s="6"/>
    </row>
    <row r="203" spans="1:36">
      <c r="A203" s="6">
        <v>211</v>
      </c>
      <c r="B203" s="6" t="s">
        <v>5173</v>
      </c>
      <c r="C203" s="6" t="s">
        <v>1342</v>
      </c>
      <c r="D203" s="6" t="s">
        <v>132</v>
      </c>
      <c r="E203" s="12" t="s">
        <v>5174</v>
      </c>
      <c r="F203" s="6" t="s">
        <v>4178</v>
      </c>
      <c r="G203" s="6"/>
      <c r="H203" s="6" t="s">
        <v>5175</v>
      </c>
      <c r="I203" s="6" t="s">
        <v>1347</v>
      </c>
      <c r="J203" s="6"/>
      <c r="K203" s="6" t="s">
        <v>1342</v>
      </c>
      <c r="L203" s="6"/>
      <c r="M203" s="6" t="s">
        <v>5176</v>
      </c>
      <c r="N203" s="6">
        <v>49.859672500000002</v>
      </c>
      <c r="O203" s="6">
        <v>18.557269399999999</v>
      </c>
      <c r="P203" s="6"/>
      <c r="Q203" s="6"/>
      <c r="R203" s="6"/>
      <c r="S203" s="6"/>
      <c r="T203" s="6"/>
      <c r="U203" s="6"/>
      <c r="V203" s="6"/>
      <c r="W203" s="6"/>
      <c r="Y203" s="6"/>
      <c r="Z203" s="6"/>
      <c r="AA203" s="6"/>
      <c r="AB203" s="6"/>
      <c r="AC203" s="6"/>
      <c r="AD203" s="6"/>
      <c r="AE203" s="6"/>
      <c r="AF203" s="6"/>
      <c r="AG203" s="6"/>
      <c r="AH203" s="6"/>
      <c r="AI203" s="6"/>
      <c r="AJ203" s="6"/>
    </row>
    <row r="204" spans="1:36">
      <c r="A204" s="6">
        <v>212</v>
      </c>
      <c r="B204" s="6" t="s">
        <v>5177</v>
      </c>
      <c r="C204" s="6" t="s">
        <v>1342</v>
      </c>
      <c r="D204" s="6" t="s">
        <v>2316</v>
      </c>
      <c r="E204" s="12" t="s">
        <v>5178</v>
      </c>
      <c r="F204" s="6" t="s">
        <v>4178</v>
      </c>
      <c r="G204" s="6" t="s">
        <v>5179</v>
      </c>
      <c r="H204" s="6"/>
      <c r="I204" s="6" t="s">
        <v>1347</v>
      </c>
      <c r="J204" s="6"/>
      <c r="K204" s="6" t="s">
        <v>1342</v>
      </c>
      <c r="L204" s="6"/>
      <c r="M204" s="6" t="s">
        <v>5180</v>
      </c>
      <c r="N204" s="6">
        <v>49.7778414</v>
      </c>
      <c r="O204" s="6">
        <v>18.4429075</v>
      </c>
      <c r="P204" s="6"/>
      <c r="Q204" s="6"/>
      <c r="R204" s="6"/>
      <c r="S204" s="6"/>
      <c r="T204" s="6"/>
      <c r="U204" s="6"/>
      <c r="V204" s="6"/>
      <c r="W204" s="6"/>
      <c r="Y204" s="6"/>
      <c r="Z204" s="6"/>
      <c r="AA204" s="6"/>
      <c r="AB204" s="6"/>
      <c r="AC204" s="6"/>
      <c r="AD204" s="6"/>
      <c r="AE204" s="6"/>
      <c r="AF204" s="6"/>
      <c r="AG204" s="6"/>
      <c r="AH204" s="6"/>
      <c r="AI204" s="6"/>
      <c r="AJ204" s="6"/>
    </row>
    <row r="205" spans="1:36">
      <c r="A205" s="6">
        <v>213</v>
      </c>
      <c r="B205" s="6" t="s">
        <v>5181</v>
      </c>
      <c r="C205" s="6" t="s">
        <v>1342</v>
      </c>
      <c r="D205" s="6" t="s">
        <v>1903</v>
      </c>
      <c r="E205" s="12" t="s">
        <v>5182</v>
      </c>
      <c r="F205" s="6" t="s">
        <v>4178</v>
      </c>
      <c r="G205" s="6" t="s">
        <v>5183</v>
      </c>
      <c r="H205" s="6" t="s">
        <v>5184</v>
      </c>
      <c r="I205" s="6" t="s">
        <v>1347</v>
      </c>
      <c r="J205" s="6"/>
      <c r="K205" s="6" t="s">
        <v>1342</v>
      </c>
      <c r="L205" s="6"/>
      <c r="M205" s="6" t="s">
        <v>5185</v>
      </c>
      <c r="N205" s="6">
        <v>49.601155300000002</v>
      </c>
      <c r="O205" s="6">
        <v>18.139552200000001</v>
      </c>
      <c r="P205" s="6"/>
      <c r="Q205" s="6"/>
      <c r="R205" s="6"/>
      <c r="S205" s="6"/>
      <c r="T205" s="6"/>
      <c r="U205" s="6"/>
      <c r="V205" s="6"/>
      <c r="W205" s="6"/>
      <c r="Y205" s="6"/>
      <c r="Z205" s="6"/>
      <c r="AA205" s="6"/>
      <c r="AB205" s="6"/>
      <c r="AC205" s="6"/>
      <c r="AD205" s="6"/>
      <c r="AE205" s="6"/>
      <c r="AF205" s="6"/>
      <c r="AG205" s="6"/>
      <c r="AH205" s="6"/>
      <c r="AI205" s="6"/>
      <c r="AJ205" s="6"/>
    </row>
    <row r="206" spans="1:36">
      <c r="A206" s="6">
        <v>214</v>
      </c>
      <c r="B206" s="6" t="s">
        <v>5186</v>
      </c>
      <c r="C206" s="6" t="s">
        <v>1342</v>
      </c>
      <c r="D206" s="6" t="s">
        <v>123</v>
      </c>
      <c r="E206" s="12" t="s">
        <v>5187</v>
      </c>
      <c r="F206" s="6" t="s">
        <v>4178</v>
      </c>
      <c r="G206" s="6" t="s">
        <v>5188</v>
      </c>
      <c r="H206" s="6" t="s">
        <v>5189</v>
      </c>
      <c r="I206" s="6" t="s">
        <v>1347</v>
      </c>
      <c r="J206" s="6"/>
      <c r="K206" s="6" t="s">
        <v>1342</v>
      </c>
      <c r="L206" s="6"/>
      <c r="M206" s="6" t="s">
        <v>5190</v>
      </c>
      <c r="N206" s="6">
        <v>49.836191700000001</v>
      </c>
      <c r="O206" s="6">
        <v>18.293258099999999</v>
      </c>
      <c r="P206" s="6"/>
      <c r="Q206" s="6"/>
      <c r="R206" s="6"/>
      <c r="S206" s="6"/>
      <c r="T206" s="6"/>
      <c r="U206" s="6"/>
      <c r="V206" s="6"/>
      <c r="W206" s="6"/>
    </row>
    <row r="207" spans="1:36">
      <c r="A207" s="6">
        <v>215</v>
      </c>
      <c r="B207" s="6" t="s">
        <v>5191</v>
      </c>
      <c r="C207" s="6" t="s">
        <v>1342</v>
      </c>
      <c r="D207" s="6" t="s">
        <v>126</v>
      </c>
      <c r="E207" s="12" t="s">
        <v>5192</v>
      </c>
      <c r="F207" s="6" t="s">
        <v>4178</v>
      </c>
      <c r="G207" s="6" t="s">
        <v>5193</v>
      </c>
      <c r="H207" s="6" t="s">
        <v>5194</v>
      </c>
      <c r="I207" s="6" t="s">
        <v>1347</v>
      </c>
      <c r="J207" s="6"/>
      <c r="K207" s="6" t="s">
        <v>1342</v>
      </c>
      <c r="L207" s="6"/>
      <c r="M207" s="6" t="s">
        <v>5195</v>
      </c>
      <c r="N207" s="6">
        <v>49.748121099999999</v>
      </c>
      <c r="O207" s="6">
        <v>18.625462500000001</v>
      </c>
      <c r="P207" s="6"/>
      <c r="Q207" s="6"/>
      <c r="R207" s="6"/>
      <c r="S207" s="6"/>
      <c r="T207" s="6"/>
      <c r="U207" s="6"/>
      <c r="V207" s="6"/>
      <c r="W207" s="6"/>
    </row>
    <row r="208" spans="1:36">
      <c r="A208" s="6">
        <v>216</v>
      </c>
      <c r="B208" s="6" t="s">
        <v>5196</v>
      </c>
      <c r="C208" s="6" t="s">
        <v>1342</v>
      </c>
      <c r="D208" s="6" t="s">
        <v>1556</v>
      </c>
      <c r="E208" s="12" t="s">
        <v>5197</v>
      </c>
      <c r="F208" s="6" t="s">
        <v>4178</v>
      </c>
      <c r="G208" s="6" t="s">
        <v>5198</v>
      </c>
      <c r="H208" s="6"/>
      <c r="I208" s="6" t="s">
        <v>1347</v>
      </c>
      <c r="J208" s="6"/>
      <c r="K208" s="6" t="s">
        <v>1342</v>
      </c>
      <c r="L208" s="6"/>
      <c r="M208" s="6" t="s">
        <v>5199</v>
      </c>
      <c r="N208" s="6">
        <v>50.070718900000003</v>
      </c>
      <c r="O208" s="6">
        <v>14.403118600000001</v>
      </c>
      <c r="P208" s="6"/>
      <c r="Q208" s="6"/>
      <c r="R208" s="6"/>
      <c r="S208" s="6"/>
      <c r="T208" s="6"/>
      <c r="U208" s="6"/>
      <c r="V208" s="6"/>
      <c r="W208" s="6"/>
      <c r="X208" s="6"/>
    </row>
    <row r="209" spans="1:36">
      <c r="A209" s="6">
        <v>217</v>
      </c>
      <c r="B209" s="6" t="s">
        <v>5200</v>
      </c>
      <c r="C209" s="6" t="s">
        <v>1342</v>
      </c>
      <c r="D209" s="9" t="s">
        <v>5201</v>
      </c>
      <c r="E209" s="12" t="s">
        <v>5202</v>
      </c>
      <c r="F209" s="6" t="s">
        <v>4178</v>
      </c>
      <c r="G209" s="6" t="s">
        <v>5203</v>
      </c>
      <c r="H209" s="6"/>
      <c r="I209" s="6" t="s">
        <v>1347</v>
      </c>
      <c r="J209" s="6"/>
      <c r="K209" s="6" t="s">
        <v>1342</v>
      </c>
      <c r="L209" s="6"/>
      <c r="M209" s="12" t="s">
        <v>5204</v>
      </c>
      <c r="N209" s="12">
        <v>49.668033600000001</v>
      </c>
      <c r="O209" s="12">
        <v>18.674938300000001</v>
      </c>
      <c r="P209" s="6"/>
      <c r="Q209" s="6"/>
      <c r="R209" s="6"/>
      <c r="S209" s="6"/>
      <c r="T209" s="6"/>
      <c r="U209" s="6"/>
      <c r="V209" s="6"/>
      <c r="W209" s="6"/>
      <c r="X209" s="6"/>
    </row>
    <row r="210" spans="1:36">
      <c r="A210" s="6">
        <v>218</v>
      </c>
      <c r="B210" s="6" t="s">
        <v>5205</v>
      </c>
      <c r="C210" s="6" t="s">
        <v>1342</v>
      </c>
      <c r="D210" s="6" t="s">
        <v>2156</v>
      </c>
      <c r="E210" s="12" t="s">
        <v>5206</v>
      </c>
      <c r="F210" s="6" t="s">
        <v>4178</v>
      </c>
      <c r="G210" s="6" t="s">
        <v>5207</v>
      </c>
      <c r="H210" s="6" t="s">
        <v>5208</v>
      </c>
      <c r="I210" s="6" t="s">
        <v>1347</v>
      </c>
      <c r="J210" s="6"/>
      <c r="K210" s="6" t="s">
        <v>1342</v>
      </c>
      <c r="L210" s="6"/>
      <c r="M210" s="6" t="s">
        <v>5209</v>
      </c>
      <c r="N210" s="6">
        <v>49.233122799999997</v>
      </c>
      <c r="O210" s="6">
        <v>17.6596267</v>
      </c>
      <c r="P210" s="6"/>
      <c r="Q210" s="6"/>
      <c r="R210" s="6"/>
      <c r="S210" s="6"/>
      <c r="T210" s="6"/>
      <c r="U210" s="6"/>
      <c r="V210" s="6"/>
      <c r="W210" s="6"/>
    </row>
    <row r="211" spans="1:36">
      <c r="A211" s="6">
        <v>219</v>
      </c>
      <c r="B211" s="6" t="s">
        <v>5210</v>
      </c>
      <c r="C211" s="6" t="s">
        <v>1342</v>
      </c>
      <c r="D211" s="6" t="s">
        <v>259</v>
      </c>
      <c r="E211" s="12" t="s">
        <v>5211</v>
      </c>
      <c r="F211" s="6" t="s">
        <v>4178</v>
      </c>
      <c r="G211" s="6" t="s">
        <v>5212</v>
      </c>
      <c r="H211" s="6" t="s">
        <v>5213</v>
      </c>
      <c r="I211" s="6" t="s">
        <v>1347</v>
      </c>
      <c r="J211" s="6"/>
      <c r="K211" s="6" t="s">
        <v>1342</v>
      </c>
      <c r="L211" s="6"/>
      <c r="M211" s="6" t="s">
        <v>5214</v>
      </c>
      <c r="N211" s="6">
        <v>49.688282800000003</v>
      </c>
      <c r="O211" s="6">
        <v>18.349468600000002</v>
      </c>
      <c r="P211" s="6"/>
      <c r="Q211" s="6"/>
      <c r="R211" s="6"/>
      <c r="S211" s="6"/>
      <c r="T211" s="6"/>
      <c r="U211" s="6"/>
      <c r="V211" s="6"/>
      <c r="W211" s="6"/>
    </row>
    <row r="212" spans="1:36">
      <c r="A212" s="6">
        <v>220</v>
      </c>
      <c r="B212" s="6" t="s">
        <v>5215</v>
      </c>
      <c r="C212" s="6" t="s">
        <v>1342</v>
      </c>
      <c r="D212" s="6" t="s">
        <v>123</v>
      </c>
      <c r="E212" s="12" t="s">
        <v>5216</v>
      </c>
      <c r="F212" s="6" t="s">
        <v>4178</v>
      </c>
      <c r="G212" s="6" t="s">
        <v>5217</v>
      </c>
      <c r="H212" s="6"/>
      <c r="I212" s="6" t="s">
        <v>1347</v>
      </c>
      <c r="J212" s="6"/>
      <c r="K212" s="6" t="s">
        <v>1342</v>
      </c>
      <c r="L212" s="6"/>
      <c r="M212" s="6" t="s">
        <v>5218</v>
      </c>
      <c r="N212" s="6">
        <v>49.836078899999997</v>
      </c>
      <c r="O212" s="6">
        <v>18.286597199999999</v>
      </c>
      <c r="P212" s="6"/>
      <c r="Q212" s="6"/>
      <c r="R212" s="6"/>
      <c r="S212" s="6"/>
      <c r="T212" s="6"/>
      <c r="U212" s="6"/>
      <c r="V212" s="6"/>
      <c r="W212" s="6"/>
    </row>
    <row r="213" spans="1:36">
      <c r="A213" s="6">
        <v>221</v>
      </c>
      <c r="B213" s="6" t="s">
        <v>5219</v>
      </c>
      <c r="C213" s="6" t="s">
        <v>1342</v>
      </c>
      <c r="D213" s="6" t="s">
        <v>287</v>
      </c>
      <c r="E213" s="12" t="s">
        <v>5220</v>
      </c>
      <c r="F213" s="6" t="s">
        <v>4178</v>
      </c>
      <c r="G213" s="15" t="s">
        <v>5221</v>
      </c>
      <c r="H213" s="15" t="s">
        <v>5222</v>
      </c>
      <c r="I213" s="6" t="s">
        <v>1347</v>
      </c>
      <c r="J213" s="6"/>
      <c r="K213" s="6" t="s">
        <v>1342</v>
      </c>
      <c r="L213" s="6"/>
      <c r="M213" s="6" t="s">
        <v>5223</v>
      </c>
      <c r="N213" s="6">
        <v>49.340149400000001</v>
      </c>
      <c r="O213" s="6">
        <v>17.9935717</v>
      </c>
      <c r="P213" s="6"/>
      <c r="Q213" s="6"/>
      <c r="R213" s="6"/>
      <c r="S213" s="6"/>
      <c r="T213" s="6"/>
      <c r="U213" s="6"/>
      <c r="V213" s="6"/>
      <c r="W213" s="6"/>
      <c r="X213" s="6"/>
    </row>
    <row r="214" spans="1:36">
      <c r="A214" s="6">
        <v>222</v>
      </c>
      <c r="B214" s="6" t="s">
        <v>5224</v>
      </c>
      <c r="C214" s="6" t="s">
        <v>1342</v>
      </c>
      <c r="D214" s="6" t="s">
        <v>5201</v>
      </c>
      <c r="E214" s="12" t="s">
        <v>5225</v>
      </c>
      <c r="F214" s="6" t="s">
        <v>4178</v>
      </c>
      <c r="G214" s="6"/>
      <c r="H214" s="6"/>
      <c r="I214" s="6" t="s">
        <v>1347</v>
      </c>
      <c r="J214" s="6"/>
      <c r="K214" s="6" t="s">
        <v>1342</v>
      </c>
      <c r="L214" s="6"/>
      <c r="M214" s="6" t="s">
        <v>5226</v>
      </c>
      <c r="N214" s="6">
        <v>49.663620299999998</v>
      </c>
      <c r="O214" s="6">
        <v>18.681302200000001</v>
      </c>
      <c r="P214" s="6"/>
      <c r="Q214" s="6"/>
      <c r="R214" s="6"/>
      <c r="S214" s="6"/>
      <c r="T214" s="6"/>
      <c r="U214" s="6"/>
      <c r="V214" s="6"/>
      <c r="W214" s="6"/>
      <c r="X214" s="6"/>
    </row>
    <row r="215" spans="1:36">
      <c r="A215" s="9">
        <v>223</v>
      </c>
      <c r="B215" s="9" t="s">
        <v>5227</v>
      </c>
      <c r="C215" s="6" t="s">
        <v>1342</v>
      </c>
      <c r="D215" s="9" t="s">
        <v>2558</v>
      </c>
      <c r="E215" s="9" t="s">
        <v>5228</v>
      </c>
      <c r="F215" s="6" t="s">
        <v>4178</v>
      </c>
      <c r="G215" s="47" t="s">
        <v>5229</v>
      </c>
      <c r="H215" s="47" t="s">
        <v>5230</v>
      </c>
      <c r="I215" s="6" t="s">
        <v>1347</v>
      </c>
      <c r="K215" s="6" t="s">
        <v>1342</v>
      </c>
      <c r="M215" s="9" t="s">
        <v>5231</v>
      </c>
      <c r="N215" s="9">
        <v>50.070250000000001</v>
      </c>
      <c r="O215" s="9">
        <v>12.372977499999999</v>
      </c>
    </row>
    <row r="216" spans="1:36">
      <c r="A216" s="6">
        <v>224</v>
      </c>
      <c r="B216" s="6" t="s">
        <v>1360</v>
      </c>
      <c r="C216" s="6" t="s">
        <v>1631</v>
      </c>
      <c r="D216" s="6" t="s">
        <v>3469</v>
      </c>
      <c r="E216" s="12" t="s">
        <v>5232</v>
      </c>
      <c r="F216" s="6" t="s">
        <v>4178</v>
      </c>
      <c r="G216" s="6" t="s">
        <v>5233</v>
      </c>
      <c r="H216" s="6" t="s">
        <v>5234</v>
      </c>
      <c r="I216" s="6" t="s">
        <v>1634</v>
      </c>
      <c r="J216" s="6"/>
      <c r="K216" s="6" t="s">
        <v>1631</v>
      </c>
      <c r="L216" s="6"/>
      <c r="M216" s="6" t="s">
        <v>5235</v>
      </c>
      <c r="N216" s="28">
        <v>50.723911700000002</v>
      </c>
      <c r="O216" s="28">
        <v>15.1718864</v>
      </c>
      <c r="P216" s="6"/>
      <c r="Q216" s="6"/>
      <c r="R216" s="6"/>
      <c r="S216" s="6"/>
      <c r="T216" s="6"/>
      <c r="U216" s="6"/>
      <c r="V216" s="6"/>
      <c r="W216" s="6"/>
      <c r="Z216" s="9" t="s">
        <v>47</v>
      </c>
    </row>
    <row r="217" spans="1:36">
      <c r="A217" s="6">
        <v>225</v>
      </c>
      <c r="B217" s="10" t="s">
        <v>5236</v>
      </c>
      <c r="C217" s="6"/>
      <c r="D217" s="6" t="s">
        <v>316</v>
      </c>
      <c r="E217" s="12" t="s">
        <v>5237</v>
      </c>
      <c r="F217" s="6" t="s">
        <v>4111</v>
      </c>
      <c r="G217" s="6" t="s">
        <v>5238</v>
      </c>
      <c r="H217" s="6" t="s">
        <v>5239</v>
      </c>
      <c r="I217" s="6" t="s">
        <v>5240</v>
      </c>
      <c r="J217" s="6" t="s">
        <v>4111</v>
      </c>
      <c r="K217" s="12" t="s">
        <v>4115</v>
      </c>
      <c r="L217" s="6"/>
      <c r="M217" s="6" t="s">
        <v>5241</v>
      </c>
      <c r="N217" s="14">
        <v>49.298030599999997</v>
      </c>
      <c r="O217" s="14">
        <v>17.392693300000001</v>
      </c>
      <c r="P217" s="6"/>
      <c r="Q217" s="6"/>
      <c r="R217" s="6"/>
      <c r="S217" s="6"/>
      <c r="T217" s="6"/>
      <c r="U217" s="6"/>
      <c r="V217" s="6"/>
      <c r="W217" s="6"/>
    </row>
    <row r="218" spans="1:36">
      <c r="A218" s="6">
        <v>226</v>
      </c>
      <c r="B218" s="6" t="s">
        <v>5236</v>
      </c>
      <c r="C218" s="6" t="s">
        <v>1631</v>
      </c>
      <c r="D218" s="6" t="s">
        <v>68</v>
      </c>
      <c r="E218" s="12" t="s">
        <v>5242</v>
      </c>
      <c r="F218" s="6" t="s">
        <v>4178</v>
      </c>
      <c r="G218" s="6" t="s">
        <v>5243</v>
      </c>
      <c r="H218" s="6" t="s">
        <v>5244</v>
      </c>
      <c r="I218" s="6" t="s">
        <v>1634</v>
      </c>
      <c r="J218" s="6"/>
      <c r="K218" s="6" t="s">
        <v>1631</v>
      </c>
      <c r="L218" s="6"/>
      <c r="M218" s="6" t="s">
        <v>5245</v>
      </c>
      <c r="N218" s="28">
        <v>50.769901400000002</v>
      </c>
      <c r="O218" s="28">
        <v>15.058718600000001</v>
      </c>
      <c r="P218" s="6"/>
      <c r="Q218" s="6"/>
      <c r="R218" s="6"/>
      <c r="S218" s="6"/>
      <c r="T218" s="6"/>
      <c r="U218" s="6"/>
      <c r="V218" s="6"/>
      <c r="W218" s="6"/>
      <c r="Y218" s="6"/>
      <c r="Z218" s="12" t="s">
        <v>47</v>
      </c>
      <c r="AA218" s="6"/>
      <c r="AB218" s="6"/>
      <c r="AC218" s="6"/>
      <c r="AD218" s="6"/>
      <c r="AE218" s="6"/>
      <c r="AF218" s="6"/>
      <c r="AG218" s="6"/>
      <c r="AH218" s="6"/>
      <c r="AI218" s="6"/>
      <c r="AJ218" s="6"/>
    </row>
    <row r="219" spans="1:36">
      <c r="A219" s="6">
        <v>227</v>
      </c>
      <c r="B219" s="6" t="s">
        <v>5246</v>
      </c>
      <c r="C219" s="6" t="s">
        <v>3711</v>
      </c>
      <c r="D219" s="6" t="s">
        <v>5247</v>
      </c>
      <c r="E219" s="12" t="s">
        <v>5248</v>
      </c>
      <c r="F219" s="6" t="s">
        <v>4170</v>
      </c>
      <c r="G219" s="6"/>
      <c r="H219" s="6"/>
      <c r="I219" s="6" t="s">
        <v>3714</v>
      </c>
      <c r="J219" s="6"/>
      <c r="K219" s="6" t="s">
        <v>3711</v>
      </c>
      <c r="L219" s="6"/>
      <c r="M219" s="6" t="s">
        <v>5249</v>
      </c>
      <c r="N219" s="28">
        <v>49.688850000000002</v>
      </c>
      <c r="O219" s="28">
        <v>17.03641</v>
      </c>
      <c r="P219" s="6"/>
      <c r="Q219" s="6"/>
      <c r="R219" s="6"/>
      <c r="S219" s="6"/>
      <c r="T219" s="6"/>
      <c r="U219" s="6"/>
      <c r="V219" s="6"/>
      <c r="W219" s="6"/>
    </row>
    <row r="220" spans="1:36">
      <c r="A220" s="6">
        <v>228</v>
      </c>
      <c r="B220" s="6" t="s">
        <v>5250</v>
      </c>
      <c r="C220" s="6" t="s">
        <v>3711</v>
      </c>
      <c r="D220" s="6" t="s">
        <v>5251</v>
      </c>
      <c r="E220" s="12" t="s">
        <v>5252</v>
      </c>
      <c r="F220" s="6" t="s">
        <v>4170</v>
      </c>
      <c r="G220" s="6"/>
      <c r="H220" s="6"/>
      <c r="I220" s="6" t="s">
        <v>3714</v>
      </c>
      <c r="J220" s="6"/>
      <c r="K220" s="6" t="s">
        <v>3711</v>
      </c>
      <c r="L220" s="6"/>
      <c r="M220" s="6" t="s">
        <v>5253</v>
      </c>
      <c r="N220" s="28">
        <v>49.613669999999999</v>
      </c>
      <c r="O220" s="28">
        <v>17.001519999999999</v>
      </c>
      <c r="P220" s="6"/>
      <c r="Q220" s="6"/>
      <c r="R220" s="6"/>
      <c r="S220" s="6"/>
      <c r="T220" s="6"/>
      <c r="U220" s="6"/>
      <c r="V220" s="6"/>
      <c r="W220" s="6"/>
    </row>
    <row r="221" spans="1:36">
      <c r="A221" s="6">
        <v>229</v>
      </c>
      <c r="B221" s="6" t="s">
        <v>5254</v>
      </c>
      <c r="C221" s="6" t="s">
        <v>3711</v>
      </c>
      <c r="D221" s="6" t="s">
        <v>5255</v>
      </c>
      <c r="E221" s="12" t="s">
        <v>5256</v>
      </c>
      <c r="F221" s="6" t="s">
        <v>4170</v>
      </c>
      <c r="G221" s="6"/>
      <c r="H221" s="6"/>
      <c r="I221" s="6" t="s">
        <v>3714</v>
      </c>
      <c r="J221" s="6" t="s">
        <v>5257</v>
      </c>
      <c r="K221" s="6" t="s">
        <v>3711</v>
      </c>
      <c r="L221" s="6"/>
      <c r="M221" s="6" t="s">
        <v>5258</v>
      </c>
      <c r="N221" s="28">
        <v>49.606490000000001</v>
      </c>
      <c r="O221" s="28">
        <v>16.954000000000001</v>
      </c>
      <c r="P221" s="6"/>
      <c r="Q221" s="6"/>
      <c r="R221" s="6"/>
      <c r="S221" s="6"/>
      <c r="T221" s="6"/>
      <c r="U221" s="6"/>
      <c r="V221" s="6"/>
      <c r="W221" s="6"/>
      <c r="X221" s="6"/>
      <c r="Y221" s="6"/>
      <c r="Z221" s="6"/>
      <c r="AA221" s="6"/>
      <c r="AB221" s="6"/>
      <c r="AC221" s="6"/>
      <c r="AD221" s="6"/>
      <c r="AE221" s="6"/>
      <c r="AF221" s="6"/>
      <c r="AG221" s="6"/>
      <c r="AH221" s="6"/>
      <c r="AI221" s="6"/>
      <c r="AJ221" s="6"/>
    </row>
    <row r="222" spans="1:36">
      <c r="A222" s="6">
        <v>230</v>
      </c>
      <c r="B222" s="6" t="s">
        <v>5259</v>
      </c>
      <c r="C222" s="6" t="s">
        <v>3711</v>
      </c>
      <c r="D222" s="6" t="s">
        <v>5255</v>
      </c>
      <c r="E222" s="12" t="s">
        <v>5260</v>
      </c>
      <c r="F222" s="6" t="s">
        <v>4170</v>
      </c>
      <c r="G222" s="6"/>
      <c r="H222" s="6"/>
      <c r="I222" s="6" t="s">
        <v>3714</v>
      </c>
      <c r="J222" s="6" t="s">
        <v>5257</v>
      </c>
      <c r="K222" s="6" t="s">
        <v>3711</v>
      </c>
      <c r="L222" s="6"/>
      <c r="M222" s="6" t="s">
        <v>5261</v>
      </c>
      <c r="N222" s="28">
        <v>49.606549999999999</v>
      </c>
      <c r="O222" s="28">
        <v>16.955020000000001</v>
      </c>
      <c r="P222" s="6"/>
      <c r="Q222" s="6"/>
      <c r="R222" s="6"/>
      <c r="S222" s="6"/>
      <c r="T222" s="6"/>
      <c r="U222" s="6"/>
      <c r="V222" s="6"/>
      <c r="W222" s="6"/>
      <c r="X222" s="6"/>
    </row>
    <row r="223" spans="1:36">
      <c r="A223" s="6">
        <v>233</v>
      </c>
      <c r="B223" s="6" t="s">
        <v>5262</v>
      </c>
      <c r="C223" s="6" t="s">
        <v>135</v>
      </c>
      <c r="D223" s="6" t="s">
        <v>135</v>
      </c>
      <c r="E223" s="12" t="s">
        <v>5263</v>
      </c>
      <c r="F223" s="6" t="s">
        <v>4178</v>
      </c>
      <c r="G223" s="6" t="s">
        <v>5264</v>
      </c>
      <c r="H223" s="6" t="s">
        <v>5265</v>
      </c>
      <c r="I223" s="6" t="s">
        <v>142</v>
      </c>
      <c r="J223" s="6"/>
      <c r="K223" s="6" t="s">
        <v>135</v>
      </c>
      <c r="L223" s="6"/>
      <c r="M223" s="6" t="s">
        <v>5266</v>
      </c>
      <c r="N223" s="28">
        <v>49.6070669</v>
      </c>
      <c r="O223" s="28">
        <v>15.5786278</v>
      </c>
      <c r="P223" s="6"/>
      <c r="Q223" s="6"/>
      <c r="R223" s="6"/>
      <c r="S223" s="6"/>
      <c r="T223" s="6"/>
      <c r="U223" s="6"/>
      <c r="V223" s="6"/>
      <c r="W223" s="6"/>
    </row>
    <row r="224" spans="1:36">
      <c r="A224" s="6">
        <v>234</v>
      </c>
      <c r="B224" s="6" t="s">
        <v>5267</v>
      </c>
      <c r="C224" s="6" t="s">
        <v>1401</v>
      </c>
      <c r="D224" s="6" t="s">
        <v>1403</v>
      </c>
      <c r="E224" s="12" t="s">
        <v>1404</v>
      </c>
      <c r="F224" s="12" t="s">
        <v>4178</v>
      </c>
      <c r="G224" s="6" t="s">
        <v>5268</v>
      </c>
      <c r="H224" s="6" t="s">
        <v>5269</v>
      </c>
      <c r="I224" s="6" t="s">
        <v>1405</v>
      </c>
      <c r="J224" s="6"/>
      <c r="K224" s="6" t="s">
        <v>1401</v>
      </c>
      <c r="L224" s="6"/>
      <c r="M224" s="6" t="s">
        <v>5270</v>
      </c>
      <c r="N224" s="6">
        <v>49.001897800000002</v>
      </c>
      <c r="O224" s="6">
        <v>14.7717942</v>
      </c>
      <c r="P224" s="6"/>
      <c r="Q224" s="6"/>
      <c r="R224" s="6"/>
      <c r="S224" s="6"/>
      <c r="T224" s="6"/>
      <c r="U224" s="6"/>
      <c r="V224" s="6"/>
      <c r="W224" s="6"/>
      <c r="X224" s="6"/>
    </row>
    <row r="225" spans="1:36">
      <c r="A225" s="6">
        <v>235</v>
      </c>
      <c r="B225" s="6" t="s">
        <v>5271</v>
      </c>
      <c r="C225" s="6" t="s">
        <v>2414</v>
      </c>
      <c r="D225" s="6" t="s">
        <v>2480</v>
      </c>
      <c r="E225" s="12" t="s">
        <v>5272</v>
      </c>
      <c r="F225" s="6" t="s">
        <v>4170</v>
      </c>
      <c r="G225" s="6"/>
      <c r="H225" s="6" t="s">
        <v>5273</v>
      </c>
      <c r="I225" s="6" t="s">
        <v>2417</v>
      </c>
      <c r="J225" s="6" t="s">
        <v>5274</v>
      </c>
      <c r="K225" s="6" t="s">
        <v>2414</v>
      </c>
      <c r="L225" s="6"/>
      <c r="M225" s="12" t="s">
        <v>5275</v>
      </c>
      <c r="N225" s="69">
        <v>49.097721100000001</v>
      </c>
      <c r="O225" s="66">
        <v>16.3888225</v>
      </c>
      <c r="P225" s="6"/>
      <c r="Q225" s="6"/>
      <c r="R225" s="6"/>
      <c r="S225" s="6"/>
      <c r="T225" s="6"/>
      <c r="U225" s="6"/>
      <c r="V225" s="6"/>
      <c r="W225" s="6"/>
    </row>
    <row r="226" spans="1:36">
      <c r="A226" s="6">
        <v>236</v>
      </c>
      <c r="B226" s="6" t="s">
        <v>5276</v>
      </c>
      <c r="C226" s="6" t="s">
        <v>1913</v>
      </c>
      <c r="D226" s="6" t="s">
        <v>1153</v>
      </c>
      <c r="E226" s="12" t="s">
        <v>5277</v>
      </c>
      <c r="F226" s="12" t="s">
        <v>4178</v>
      </c>
      <c r="G226" s="6" t="s">
        <v>5278</v>
      </c>
      <c r="H226" s="6" t="s">
        <v>5279</v>
      </c>
      <c r="I226" s="6" t="s">
        <v>1916</v>
      </c>
      <c r="J226" s="6"/>
      <c r="K226" s="6" t="s">
        <v>1913</v>
      </c>
      <c r="L226" s="6"/>
      <c r="M226" s="6" t="s">
        <v>5280</v>
      </c>
      <c r="N226" s="6">
        <v>49.450927800000002</v>
      </c>
      <c r="O226" s="6">
        <v>17.448558899999998</v>
      </c>
      <c r="P226" s="6"/>
      <c r="Q226" s="6"/>
      <c r="R226" s="6"/>
      <c r="S226" s="6"/>
      <c r="T226" s="6"/>
      <c r="U226" s="6"/>
      <c r="V226" s="6"/>
      <c r="W226" s="6"/>
      <c r="X226" s="6"/>
    </row>
    <row r="227" spans="1:36">
      <c r="A227" s="6">
        <v>237</v>
      </c>
      <c r="B227" s="6" t="s">
        <v>2926</v>
      </c>
      <c r="C227" s="6" t="s">
        <v>2921</v>
      </c>
      <c r="D227" s="6" t="s">
        <v>564</v>
      </c>
      <c r="E227" s="12" t="s">
        <v>2922</v>
      </c>
      <c r="F227" s="6" t="s">
        <v>4150</v>
      </c>
      <c r="G227" s="6"/>
      <c r="H227" s="6" t="s">
        <v>5281</v>
      </c>
      <c r="I227" s="6" t="s">
        <v>2923</v>
      </c>
      <c r="J227" s="6"/>
      <c r="K227" s="6" t="s">
        <v>2921</v>
      </c>
      <c r="L227" s="6"/>
      <c r="M227" s="6" t="s">
        <v>5282</v>
      </c>
      <c r="N227" s="28">
        <v>49.562259699999998</v>
      </c>
      <c r="O227" s="28">
        <v>15.939326400000001</v>
      </c>
      <c r="P227" s="6"/>
      <c r="Q227" s="6"/>
      <c r="R227" s="6"/>
      <c r="S227" s="6"/>
      <c r="T227" s="6"/>
      <c r="U227" s="6"/>
      <c r="V227" s="6"/>
      <c r="W227" s="6"/>
    </row>
    <row r="228" spans="1:36">
      <c r="A228" s="6">
        <v>239</v>
      </c>
      <c r="B228" s="6" t="s">
        <v>5283</v>
      </c>
      <c r="C228" s="6"/>
      <c r="D228" s="6" t="s">
        <v>924</v>
      </c>
      <c r="E228" s="12" t="s">
        <v>5284</v>
      </c>
      <c r="F228" s="6" t="s">
        <v>4111</v>
      </c>
      <c r="G228" s="6"/>
      <c r="H228" s="6" t="s">
        <v>5285</v>
      </c>
      <c r="I228" s="6" t="s">
        <v>5286</v>
      </c>
      <c r="J228" s="6"/>
      <c r="K228" s="12" t="s">
        <v>4115</v>
      </c>
      <c r="L228" s="6"/>
      <c r="M228" s="6" t="s">
        <v>5287</v>
      </c>
      <c r="N228" s="14">
        <v>49.203618900000002</v>
      </c>
      <c r="O228" s="14">
        <v>16.595248600000001</v>
      </c>
      <c r="P228" s="6"/>
      <c r="Q228" s="6"/>
      <c r="R228" s="6"/>
      <c r="S228" s="6"/>
      <c r="T228" s="6"/>
      <c r="U228" s="6"/>
      <c r="V228" s="6"/>
      <c r="W228" s="6"/>
    </row>
    <row r="229" spans="1:36">
      <c r="A229" s="6">
        <v>241</v>
      </c>
      <c r="B229" s="6" t="s">
        <v>1460</v>
      </c>
      <c r="C229" s="6" t="s">
        <v>1460</v>
      </c>
      <c r="D229" s="6" t="s">
        <v>1462</v>
      </c>
      <c r="E229" s="12" t="s">
        <v>5288</v>
      </c>
      <c r="F229" s="6" t="s">
        <v>4178</v>
      </c>
      <c r="G229" s="6"/>
      <c r="H229" s="6"/>
      <c r="I229" s="6" t="s">
        <v>1464</v>
      </c>
      <c r="J229" s="6"/>
      <c r="K229" s="6" t="s">
        <v>1460</v>
      </c>
      <c r="L229" s="6"/>
      <c r="M229" s="6" t="s">
        <v>5289</v>
      </c>
      <c r="N229" s="6">
        <v>49.7603656</v>
      </c>
      <c r="O229" s="6">
        <v>15.9063611</v>
      </c>
      <c r="P229" s="6"/>
      <c r="Q229" s="6"/>
      <c r="R229" s="6"/>
      <c r="S229" s="6"/>
      <c r="T229" s="6"/>
      <c r="U229" s="6"/>
      <c r="V229" s="6"/>
      <c r="W229" s="6"/>
      <c r="Y229" s="6"/>
      <c r="Z229" s="6"/>
      <c r="AA229" s="6"/>
      <c r="AB229" s="6"/>
      <c r="AC229" s="6"/>
      <c r="AD229" s="6"/>
      <c r="AE229" s="6"/>
      <c r="AF229" s="6"/>
      <c r="AG229" s="6"/>
      <c r="AH229" s="6"/>
      <c r="AI229" s="6"/>
      <c r="AJ229" s="6"/>
    </row>
    <row r="230" spans="1:36">
      <c r="A230" s="6">
        <v>242</v>
      </c>
      <c r="B230" s="6" t="s">
        <v>5290</v>
      </c>
      <c r="C230" s="6" t="s">
        <v>5290</v>
      </c>
      <c r="D230" s="6" t="s">
        <v>1018</v>
      </c>
      <c r="E230" s="12" t="s">
        <v>5291</v>
      </c>
      <c r="F230" s="6" t="s">
        <v>4150</v>
      </c>
      <c r="G230" s="6" t="s">
        <v>5292</v>
      </c>
      <c r="H230" s="6" t="s">
        <v>5293</v>
      </c>
      <c r="I230" s="6" t="s">
        <v>5294</v>
      </c>
      <c r="J230" s="6" t="s">
        <v>5295</v>
      </c>
      <c r="K230" s="12" t="s">
        <v>5296</v>
      </c>
      <c r="L230" s="6"/>
      <c r="M230" s="6" t="s">
        <v>5297</v>
      </c>
      <c r="N230" s="14">
        <v>49.191360299999999</v>
      </c>
      <c r="O230" s="14">
        <v>16.616011400000001</v>
      </c>
      <c r="P230" s="6"/>
      <c r="Q230" s="6"/>
      <c r="R230" s="6"/>
      <c r="S230" s="6"/>
      <c r="T230" s="6"/>
      <c r="U230" s="6"/>
      <c r="V230" s="6"/>
      <c r="W230" s="6"/>
    </row>
    <row r="231" spans="1:36">
      <c r="A231" s="6">
        <v>243</v>
      </c>
      <c r="B231" s="6" t="s">
        <v>5298</v>
      </c>
      <c r="C231" s="6" t="s">
        <v>670</v>
      </c>
      <c r="D231" s="6" t="s">
        <v>672</v>
      </c>
      <c r="E231" s="12" t="s">
        <v>5299</v>
      </c>
      <c r="F231" s="12" t="s">
        <v>4178</v>
      </c>
      <c r="G231" s="6" t="s">
        <v>5300</v>
      </c>
      <c r="H231" s="6" t="s">
        <v>5301</v>
      </c>
      <c r="I231" s="6" t="s">
        <v>675</v>
      </c>
      <c r="J231" s="6"/>
      <c r="K231" s="6" t="s">
        <v>670</v>
      </c>
      <c r="L231" s="6"/>
      <c r="M231" s="6" t="s">
        <v>5302</v>
      </c>
      <c r="N231" s="6">
        <v>50.524617499999998</v>
      </c>
      <c r="O231" s="6">
        <v>14.946338600000001</v>
      </c>
      <c r="P231" s="6"/>
      <c r="Q231" s="6"/>
      <c r="R231" s="6"/>
      <c r="S231" s="6"/>
      <c r="T231" s="6"/>
      <c r="U231" s="6"/>
      <c r="V231" s="6"/>
      <c r="W231" s="6"/>
    </row>
    <row r="232" spans="1:36">
      <c r="A232" s="6">
        <v>244</v>
      </c>
      <c r="B232" s="6" t="s">
        <v>5303</v>
      </c>
      <c r="C232" s="6"/>
      <c r="D232" s="6" t="s">
        <v>268</v>
      </c>
      <c r="E232" s="12" t="s">
        <v>5304</v>
      </c>
      <c r="F232" s="6" t="s">
        <v>4111</v>
      </c>
      <c r="G232" s="6"/>
      <c r="H232" s="6" t="s">
        <v>5305</v>
      </c>
      <c r="I232" s="6" t="s">
        <v>5306</v>
      </c>
      <c r="J232" s="6" t="s">
        <v>4111</v>
      </c>
      <c r="K232" s="6" t="s">
        <v>479</v>
      </c>
      <c r="L232" s="6"/>
      <c r="M232" s="6" t="s">
        <v>5307</v>
      </c>
      <c r="N232" s="6">
        <v>50.086163300000003</v>
      </c>
      <c r="O232" s="6">
        <v>14.3450244</v>
      </c>
      <c r="P232" s="6"/>
      <c r="Q232" s="6"/>
      <c r="R232" s="6"/>
      <c r="S232" s="6"/>
      <c r="T232" s="6"/>
      <c r="U232" s="6"/>
      <c r="V232" s="6"/>
      <c r="W232" s="6"/>
      <c r="X232" s="6"/>
    </row>
    <row r="233" spans="1:36">
      <c r="A233" s="6">
        <v>245</v>
      </c>
      <c r="B233" s="6" t="s">
        <v>100</v>
      </c>
      <c r="C233" s="6" t="s">
        <v>101</v>
      </c>
      <c r="D233" s="6" t="s">
        <v>101</v>
      </c>
      <c r="E233" s="12" t="s">
        <v>102</v>
      </c>
      <c r="F233" s="6" t="s">
        <v>4150</v>
      </c>
      <c r="G233" s="6" t="s">
        <v>104</v>
      </c>
      <c r="H233" s="6" t="s">
        <v>105</v>
      </c>
      <c r="I233" s="6" t="s">
        <v>106</v>
      </c>
      <c r="J233" s="6"/>
      <c r="K233" s="6" t="s">
        <v>101</v>
      </c>
      <c r="L233" s="6"/>
      <c r="M233" s="6" t="s">
        <v>107</v>
      </c>
      <c r="N233" s="6">
        <v>50.776993599999997</v>
      </c>
      <c r="O233" s="6">
        <v>14.6422642</v>
      </c>
      <c r="P233" s="6"/>
      <c r="Q233" s="6"/>
      <c r="R233" s="6"/>
      <c r="S233" s="6"/>
      <c r="T233" s="6"/>
      <c r="U233" s="6"/>
      <c r="V233" s="6"/>
      <c r="W233" s="6"/>
      <c r="Y233" s="6"/>
      <c r="Z233" s="6"/>
      <c r="AA233" s="6"/>
      <c r="AB233" s="6"/>
      <c r="AC233" s="6"/>
      <c r="AD233" s="6"/>
      <c r="AE233" s="6"/>
      <c r="AF233" s="6"/>
      <c r="AG233" s="6"/>
      <c r="AH233" s="6"/>
      <c r="AI233" s="6"/>
      <c r="AJ233" s="6"/>
    </row>
    <row r="234" spans="1:36">
      <c r="A234" s="6">
        <v>246</v>
      </c>
      <c r="B234" s="6" t="s">
        <v>5308</v>
      </c>
      <c r="C234" s="6"/>
      <c r="D234" s="6" t="s">
        <v>2687</v>
      </c>
      <c r="E234" s="12" t="s">
        <v>5309</v>
      </c>
      <c r="F234" s="6" t="s">
        <v>4111</v>
      </c>
      <c r="G234" s="6"/>
      <c r="H234" s="6" t="s">
        <v>5310</v>
      </c>
      <c r="I234" s="6" t="s">
        <v>5311</v>
      </c>
      <c r="J234" s="6"/>
      <c r="K234" s="12" t="s">
        <v>5312</v>
      </c>
      <c r="L234" s="6"/>
      <c r="M234" s="6" t="s">
        <v>5313</v>
      </c>
      <c r="N234" s="14">
        <v>49.2223769</v>
      </c>
      <c r="O234" s="14">
        <v>17.845555600000001</v>
      </c>
      <c r="P234" s="6"/>
      <c r="Q234" s="6"/>
      <c r="R234" s="6"/>
      <c r="S234" s="6"/>
      <c r="T234" s="6"/>
      <c r="U234" s="6"/>
      <c r="V234" s="6"/>
      <c r="W234" s="6"/>
      <c r="X234" s="6"/>
    </row>
    <row r="235" spans="1:36">
      <c r="A235" s="6">
        <v>247</v>
      </c>
      <c r="B235" s="10" t="s">
        <v>5314</v>
      </c>
      <c r="C235" s="6"/>
      <c r="D235" s="6" t="s">
        <v>5315</v>
      </c>
      <c r="E235" s="12" t="s">
        <v>5316</v>
      </c>
      <c r="F235" s="6" t="s">
        <v>4111</v>
      </c>
      <c r="G235" s="6" t="s">
        <v>5317</v>
      </c>
      <c r="H235" s="6" t="s">
        <v>5318</v>
      </c>
      <c r="I235" s="6" t="s">
        <v>5319</v>
      </c>
      <c r="J235" s="6"/>
      <c r="K235" s="12" t="s">
        <v>4115</v>
      </c>
      <c r="L235" s="6"/>
      <c r="M235" s="6" t="s">
        <v>5320</v>
      </c>
      <c r="N235" s="14">
        <v>49.221413900000002</v>
      </c>
      <c r="O235" s="14">
        <v>16.598021899999999</v>
      </c>
      <c r="P235" s="6"/>
      <c r="Q235" s="6"/>
      <c r="R235" s="6"/>
      <c r="S235" s="6"/>
      <c r="T235" s="6"/>
      <c r="U235" s="6"/>
      <c r="V235" s="6"/>
      <c r="W235" s="6"/>
    </row>
    <row r="236" spans="1:36">
      <c r="A236" s="6">
        <v>248</v>
      </c>
      <c r="B236" s="6" t="s">
        <v>5321</v>
      </c>
      <c r="C236" s="6" t="s">
        <v>3368</v>
      </c>
      <c r="D236" s="6" t="s">
        <v>3370</v>
      </c>
      <c r="E236" s="12" t="s">
        <v>5322</v>
      </c>
      <c r="F236" s="6" t="s">
        <v>4170</v>
      </c>
      <c r="G236" s="6"/>
      <c r="H236" s="6" t="s">
        <v>5323</v>
      </c>
      <c r="I236" s="6" t="s">
        <v>3372</v>
      </c>
      <c r="J236" s="6"/>
      <c r="K236" s="6" t="s">
        <v>3368</v>
      </c>
      <c r="L236" s="6"/>
      <c r="M236" s="6" t="s">
        <v>5324</v>
      </c>
      <c r="N236" s="6">
        <v>49.953364999999998</v>
      </c>
      <c r="O236" s="6">
        <v>16.1630517</v>
      </c>
      <c r="P236" s="6"/>
      <c r="Q236" s="6"/>
      <c r="R236" s="6"/>
      <c r="S236" s="6"/>
      <c r="T236" s="6"/>
      <c r="U236" s="6"/>
      <c r="V236" s="6"/>
      <c r="W236" s="6"/>
    </row>
    <row r="237" spans="1:36">
      <c r="A237" s="6">
        <v>249</v>
      </c>
      <c r="B237" s="6" t="s">
        <v>5325</v>
      </c>
      <c r="C237" s="6" t="s">
        <v>1369</v>
      </c>
      <c r="D237" s="6" t="s">
        <v>5326</v>
      </c>
      <c r="E237" s="12" t="s">
        <v>5327</v>
      </c>
      <c r="F237" s="6" t="s">
        <v>4150</v>
      </c>
      <c r="G237" s="6"/>
      <c r="H237" s="6" t="s">
        <v>5328</v>
      </c>
      <c r="I237" s="6" t="s">
        <v>1373</v>
      </c>
      <c r="J237" s="6"/>
      <c r="K237" s="6" t="s">
        <v>1369</v>
      </c>
      <c r="L237" s="6"/>
      <c r="M237" s="6" t="s">
        <v>5329</v>
      </c>
      <c r="N237" s="6">
        <v>49.797388099999999</v>
      </c>
      <c r="O237" s="6">
        <v>13.4496106</v>
      </c>
      <c r="P237" s="6"/>
      <c r="Q237" s="6"/>
      <c r="R237" s="6"/>
      <c r="S237" s="6"/>
      <c r="T237" s="6"/>
      <c r="U237" s="6"/>
      <c r="V237" s="6"/>
      <c r="W237" s="6"/>
      <c r="Y237" s="6"/>
      <c r="Z237" s="6"/>
      <c r="AA237" s="6"/>
      <c r="AB237" s="6"/>
      <c r="AC237" s="6"/>
      <c r="AD237" s="6"/>
      <c r="AE237" s="6"/>
      <c r="AF237" s="6"/>
      <c r="AG237" s="6"/>
      <c r="AH237" s="6"/>
      <c r="AI237" s="6"/>
      <c r="AJ237" s="6"/>
    </row>
    <row r="238" spans="1:36">
      <c r="A238" s="6">
        <v>250</v>
      </c>
      <c r="B238" s="6" t="s">
        <v>5330</v>
      </c>
      <c r="C238" s="6" t="s">
        <v>1214</v>
      </c>
      <c r="D238" s="6" t="s">
        <v>1018</v>
      </c>
      <c r="E238" s="12" t="s">
        <v>5331</v>
      </c>
      <c r="F238" s="6" t="s">
        <v>4178</v>
      </c>
      <c r="G238" s="6" t="s">
        <v>5332</v>
      </c>
      <c r="H238" s="6" t="s">
        <v>4524</v>
      </c>
      <c r="I238" s="6" t="s">
        <v>1218</v>
      </c>
      <c r="J238" s="6"/>
      <c r="K238" s="6" t="s">
        <v>1214</v>
      </c>
      <c r="L238" s="6"/>
      <c r="M238" s="6" t="s">
        <v>5333</v>
      </c>
      <c r="N238" s="6">
        <v>49.195661899999998</v>
      </c>
      <c r="O238" s="6">
        <v>16.606719999999999</v>
      </c>
      <c r="P238" s="6"/>
      <c r="Q238" s="6"/>
      <c r="R238" s="6"/>
      <c r="S238" s="6"/>
      <c r="T238" s="6"/>
      <c r="U238" s="6"/>
      <c r="V238" s="6"/>
      <c r="W238" s="6"/>
      <c r="Y238" s="6"/>
      <c r="Z238" s="6"/>
      <c r="AA238" s="6"/>
      <c r="AB238" s="6"/>
      <c r="AC238" s="6"/>
      <c r="AD238" s="6"/>
      <c r="AE238" s="6"/>
      <c r="AF238" s="6"/>
      <c r="AG238" s="6"/>
      <c r="AH238" s="6"/>
      <c r="AI238" s="6"/>
      <c r="AJ238" s="6"/>
    </row>
    <row r="239" spans="1:36">
      <c r="A239" s="6">
        <v>251</v>
      </c>
      <c r="B239" s="6" t="s">
        <v>5334</v>
      </c>
      <c r="C239" s="6"/>
      <c r="D239" s="6" t="s">
        <v>4724</v>
      </c>
      <c r="E239" s="12" t="s">
        <v>5335</v>
      </c>
      <c r="F239" s="6" t="s">
        <v>4111</v>
      </c>
      <c r="G239" s="6" t="s">
        <v>5336</v>
      </c>
      <c r="H239" s="6" t="s">
        <v>5337</v>
      </c>
      <c r="I239" s="6" t="s">
        <v>5338</v>
      </c>
      <c r="J239" s="6"/>
      <c r="K239" s="12" t="s">
        <v>5339</v>
      </c>
      <c r="L239" s="6"/>
      <c r="M239" s="6" t="s">
        <v>5340</v>
      </c>
      <c r="N239" s="14">
        <v>49.777011100000003</v>
      </c>
      <c r="O239" s="14">
        <v>18.220077199999999</v>
      </c>
      <c r="P239" s="6"/>
      <c r="Q239" s="6"/>
      <c r="R239" s="6"/>
      <c r="S239" s="6"/>
      <c r="T239" s="6"/>
      <c r="U239" s="6"/>
      <c r="V239" s="6"/>
      <c r="W239" s="6"/>
      <c r="Y239" s="6"/>
      <c r="Z239" s="6"/>
      <c r="AA239" s="6"/>
      <c r="AB239" s="6"/>
      <c r="AC239" s="6"/>
      <c r="AD239" s="6"/>
      <c r="AE239" s="6"/>
      <c r="AF239" s="6"/>
      <c r="AG239" s="6"/>
      <c r="AH239" s="6"/>
      <c r="AI239" s="6"/>
      <c r="AJ239" s="6"/>
    </row>
    <row r="240" spans="1:36">
      <c r="A240" s="6">
        <v>252</v>
      </c>
      <c r="B240" s="6" t="s">
        <v>5341</v>
      </c>
      <c r="C240" s="6" t="s">
        <v>3678</v>
      </c>
      <c r="D240" s="6" t="s">
        <v>1165</v>
      </c>
      <c r="E240" s="12" t="s">
        <v>3680</v>
      </c>
      <c r="F240" s="6" t="s">
        <v>4170</v>
      </c>
      <c r="G240" s="6"/>
      <c r="H240" s="6" t="s">
        <v>5342</v>
      </c>
      <c r="I240" s="6" t="s">
        <v>3681</v>
      </c>
      <c r="J240" s="6"/>
      <c r="K240" s="6" t="s">
        <v>3678</v>
      </c>
      <c r="L240" s="6"/>
      <c r="M240" s="6" t="s">
        <v>5343</v>
      </c>
      <c r="N240" s="28">
        <v>50.369573299999999</v>
      </c>
      <c r="O240" s="28">
        <v>15.637975300000001</v>
      </c>
      <c r="P240" s="6"/>
      <c r="Q240" s="6"/>
      <c r="R240" s="6"/>
      <c r="S240" s="6"/>
      <c r="T240" s="6"/>
      <c r="U240" s="6"/>
      <c r="V240" s="6"/>
      <c r="W240" s="6"/>
    </row>
    <row r="241" spans="1:36">
      <c r="A241" s="6">
        <v>253</v>
      </c>
      <c r="B241" s="6" t="s">
        <v>5344</v>
      </c>
      <c r="C241" s="6"/>
      <c r="D241" s="6" t="s">
        <v>924</v>
      </c>
      <c r="E241" s="12" t="s">
        <v>5345</v>
      </c>
      <c r="F241" s="6" t="s">
        <v>4111</v>
      </c>
      <c r="G241" s="6" t="s">
        <v>5346</v>
      </c>
      <c r="H241" s="6" t="s">
        <v>5347</v>
      </c>
      <c r="I241" s="6" t="s">
        <v>5348</v>
      </c>
      <c r="J241" s="6"/>
      <c r="K241" s="12" t="s">
        <v>4115</v>
      </c>
      <c r="L241" s="6"/>
      <c r="M241" s="6" t="s">
        <v>5349</v>
      </c>
      <c r="N241" s="14">
        <v>49.201996100000002</v>
      </c>
      <c r="O241" s="14">
        <v>16.598285000000001</v>
      </c>
      <c r="P241" s="6"/>
      <c r="Q241" s="6"/>
      <c r="R241" s="6"/>
      <c r="S241" s="6"/>
      <c r="T241" s="6"/>
      <c r="U241" s="6"/>
      <c r="V241" s="6"/>
      <c r="W241" s="6"/>
    </row>
    <row r="242" spans="1:36">
      <c r="A242" s="6">
        <v>254</v>
      </c>
      <c r="B242" s="6" t="s">
        <v>5350</v>
      </c>
      <c r="C242" s="6" t="s">
        <v>3293</v>
      </c>
      <c r="D242" s="6" t="s">
        <v>3293</v>
      </c>
      <c r="E242" s="12" t="s">
        <v>5351</v>
      </c>
      <c r="F242" s="6" t="s">
        <v>4170</v>
      </c>
      <c r="G242" s="6" t="s">
        <v>5352</v>
      </c>
      <c r="H242" s="6"/>
      <c r="I242" s="6" t="s">
        <v>3296</v>
      </c>
      <c r="J242" s="6"/>
      <c r="K242" s="6" t="s">
        <v>3293</v>
      </c>
      <c r="L242" s="6"/>
      <c r="M242" s="6" t="s">
        <v>5353</v>
      </c>
      <c r="N242" s="6">
        <v>49.8152975</v>
      </c>
      <c r="O242" s="6">
        <v>15.190036900000001</v>
      </c>
      <c r="P242" s="6"/>
      <c r="Q242" s="6"/>
      <c r="R242" s="6"/>
      <c r="S242" s="6"/>
      <c r="T242" s="6"/>
      <c r="U242" s="6"/>
      <c r="V242" s="6"/>
      <c r="W242" s="6"/>
    </row>
    <row r="243" spans="1:36">
      <c r="A243" s="6">
        <v>255</v>
      </c>
      <c r="B243" s="6" t="s">
        <v>5354</v>
      </c>
      <c r="C243" s="6" t="s">
        <v>827</v>
      </c>
      <c r="D243" s="6" t="s">
        <v>2602</v>
      </c>
      <c r="E243" s="12" t="s">
        <v>5355</v>
      </c>
      <c r="F243" s="6" t="s">
        <v>4178</v>
      </c>
      <c r="G243" s="6" t="s">
        <v>5356</v>
      </c>
      <c r="H243" s="6" t="s">
        <v>5357</v>
      </c>
      <c r="I243" s="6" t="s">
        <v>830</v>
      </c>
      <c r="J243" s="6"/>
      <c r="K243" s="6" t="s">
        <v>827</v>
      </c>
      <c r="L243" s="6"/>
      <c r="M243" s="6" t="s">
        <v>5358</v>
      </c>
      <c r="N243" s="6">
        <v>50.083300600000001</v>
      </c>
      <c r="O243" s="6">
        <v>14.4338525</v>
      </c>
      <c r="P243" s="6"/>
      <c r="Q243" s="6"/>
      <c r="R243" s="6"/>
      <c r="S243" s="6"/>
      <c r="T243" s="6"/>
      <c r="U243" s="6"/>
      <c r="V243" s="6"/>
      <c r="W243" s="6"/>
      <c r="X243" s="6"/>
    </row>
    <row r="244" spans="1:36">
      <c r="A244" s="6">
        <v>256</v>
      </c>
      <c r="B244" s="6" t="s">
        <v>5359</v>
      </c>
      <c r="C244" s="6" t="s">
        <v>827</v>
      </c>
      <c r="D244" s="6" t="s">
        <v>208</v>
      </c>
      <c r="E244" s="12" t="s">
        <v>5360</v>
      </c>
      <c r="F244" s="6" t="s">
        <v>4178</v>
      </c>
      <c r="G244" s="6" t="s">
        <v>5356</v>
      </c>
      <c r="H244" s="6" t="s">
        <v>5361</v>
      </c>
      <c r="I244" s="6" t="s">
        <v>830</v>
      </c>
      <c r="J244" s="6"/>
      <c r="K244" s="6" t="s">
        <v>827</v>
      </c>
      <c r="L244" s="6"/>
      <c r="M244" s="6" t="s">
        <v>5362</v>
      </c>
      <c r="N244" s="6">
        <v>50.213148599999997</v>
      </c>
      <c r="O244" s="6">
        <v>15.8199653</v>
      </c>
      <c r="P244" s="6"/>
      <c r="Q244" s="6"/>
      <c r="R244" s="6"/>
      <c r="S244" s="6"/>
      <c r="T244" s="6"/>
      <c r="U244" s="6"/>
      <c r="V244" s="6"/>
      <c r="W244" s="6"/>
      <c r="Y244" s="6"/>
      <c r="Z244" s="6"/>
      <c r="AA244" s="6"/>
      <c r="AB244" s="6"/>
      <c r="AC244" s="6"/>
      <c r="AD244" s="6"/>
      <c r="AE244" s="6"/>
      <c r="AF244" s="6"/>
      <c r="AG244" s="6"/>
      <c r="AH244" s="6"/>
      <c r="AI244" s="6"/>
      <c r="AJ244" s="6"/>
    </row>
    <row r="245" spans="1:36">
      <c r="A245" s="6">
        <v>257</v>
      </c>
      <c r="B245" s="6" t="s">
        <v>5363</v>
      </c>
      <c r="C245" s="6" t="s">
        <v>827</v>
      </c>
      <c r="D245" s="6" t="s">
        <v>4158</v>
      </c>
      <c r="E245" s="12" t="s">
        <v>5364</v>
      </c>
      <c r="F245" s="6" t="s">
        <v>4178</v>
      </c>
      <c r="G245" s="6" t="s">
        <v>5356</v>
      </c>
      <c r="H245" s="6" t="s">
        <v>5365</v>
      </c>
      <c r="I245" s="6" t="s">
        <v>830</v>
      </c>
      <c r="J245" s="6"/>
      <c r="K245" s="6" t="s">
        <v>827</v>
      </c>
      <c r="L245" s="6"/>
      <c r="M245" s="6" t="s">
        <v>5366</v>
      </c>
      <c r="N245" s="6">
        <v>50.092414699999999</v>
      </c>
      <c r="O245" s="6">
        <v>14.4525094</v>
      </c>
      <c r="P245" s="6"/>
      <c r="Q245" s="6"/>
      <c r="R245" s="6"/>
      <c r="S245" s="6"/>
      <c r="T245" s="6"/>
      <c r="U245" s="6"/>
      <c r="V245" s="6"/>
      <c r="W245" s="6"/>
      <c r="X245" s="6"/>
    </row>
    <row r="246" spans="1:36">
      <c r="A246" s="6">
        <v>258</v>
      </c>
      <c r="B246" s="6" t="s">
        <v>5367</v>
      </c>
      <c r="C246" s="6" t="s">
        <v>827</v>
      </c>
      <c r="D246" s="6" t="s">
        <v>1023</v>
      </c>
      <c r="E246" s="12" t="s">
        <v>5368</v>
      </c>
      <c r="F246" s="6" t="s">
        <v>4178</v>
      </c>
      <c r="G246" s="6" t="s">
        <v>5356</v>
      </c>
      <c r="H246" s="6" t="s">
        <v>5369</v>
      </c>
      <c r="I246" s="6" t="s">
        <v>830</v>
      </c>
      <c r="J246" s="6"/>
      <c r="K246" s="6" t="s">
        <v>827</v>
      </c>
      <c r="L246" s="6"/>
      <c r="M246" s="6" t="s">
        <v>5370</v>
      </c>
      <c r="N246" s="6">
        <v>50.357061700000003</v>
      </c>
      <c r="O246" s="6">
        <v>13.7945656</v>
      </c>
      <c r="P246" s="6"/>
      <c r="Q246" s="6"/>
      <c r="R246" s="6"/>
      <c r="S246" s="6"/>
      <c r="T246" s="6"/>
      <c r="U246" s="6"/>
      <c r="V246" s="6"/>
      <c r="W246" s="6"/>
      <c r="Y246" s="6"/>
      <c r="Z246" s="6"/>
      <c r="AA246" s="6"/>
      <c r="AB246" s="6"/>
      <c r="AC246" s="6"/>
      <c r="AD246" s="6"/>
      <c r="AE246" s="6"/>
      <c r="AF246" s="6"/>
      <c r="AG246" s="6"/>
      <c r="AH246" s="6"/>
      <c r="AI246" s="6"/>
      <c r="AJ246" s="6"/>
    </row>
    <row r="247" spans="1:36">
      <c r="A247" s="6">
        <v>259</v>
      </c>
      <c r="B247" s="6" t="s">
        <v>5371</v>
      </c>
      <c r="C247" s="6" t="s">
        <v>827</v>
      </c>
      <c r="D247" s="6" t="s">
        <v>810</v>
      </c>
      <c r="E247" s="12" t="s">
        <v>5372</v>
      </c>
      <c r="F247" s="6" t="s">
        <v>4178</v>
      </c>
      <c r="G247" s="6" t="s">
        <v>5356</v>
      </c>
      <c r="H247" s="6" t="s">
        <v>5373</v>
      </c>
      <c r="I247" s="6" t="s">
        <v>830</v>
      </c>
      <c r="J247" s="6"/>
      <c r="K247" s="6" t="s">
        <v>827</v>
      </c>
      <c r="L247" s="6"/>
      <c r="M247" s="6" t="s">
        <v>5374</v>
      </c>
      <c r="N247" s="6">
        <v>50.416487199999999</v>
      </c>
      <c r="O247" s="6">
        <v>14.912012499999999</v>
      </c>
      <c r="P247" s="6"/>
      <c r="Q247" s="6"/>
      <c r="R247" s="6"/>
      <c r="S247" s="6"/>
      <c r="T247" s="6"/>
      <c r="U247" s="6"/>
      <c r="V247" s="6"/>
      <c r="W247" s="6"/>
    </row>
    <row r="248" spans="1:36">
      <c r="A248" s="6">
        <v>260</v>
      </c>
      <c r="B248" s="6" t="s">
        <v>5375</v>
      </c>
      <c r="C248" s="6" t="s">
        <v>827</v>
      </c>
      <c r="D248" s="6" t="s">
        <v>195</v>
      </c>
      <c r="E248" s="12" t="s">
        <v>5376</v>
      </c>
      <c r="F248" s="6" t="s">
        <v>4178</v>
      </c>
      <c r="G248" s="6" t="s">
        <v>5356</v>
      </c>
      <c r="H248" s="6" t="s">
        <v>5377</v>
      </c>
      <c r="I248" s="6" t="s">
        <v>830</v>
      </c>
      <c r="J248" s="6"/>
      <c r="K248" s="6" t="s">
        <v>827</v>
      </c>
      <c r="L248" s="6"/>
      <c r="M248" s="6" t="s">
        <v>5378</v>
      </c>
      <c r="N248" s="6">
        <v>49.687249700000002</v>
      </c>
      <c r="O248" s="6">
        <v>14.0110303</v>
      </c>
      <c r="P248" s="6"/>
      <c r="Q248" s="6"/>
      <c r="R248" s="6"/>
      <c r="S248" s="6"/>
      <c r="T248" s="6"/>
      <c r="U248" s="6"/>
      <c r="V248" s="6"/>
      <c r="W248" s="6"/>
      <c r="X248" s="6"/>
    </row>
    <row r="249" spans="1:36">
      <c r="A249" s="6">
        <v>261</v>
      </c>
      <c r="B249" s="6" t="s">
        <v>5379</v>
      </c>
      <c r="C249" s="6" t="s">
        <v>827</v>
      </c>
      <c r="D249" s="6" t="s">
        <v>76</v>
      </c>
      <c r="E249" s="12" t="s">
        <v>5380</v>
      </c>
      <c r="F249" s="6" t="s">
        <v>4178</v>
      </c>
      <c r="G249" s="6" t="s">
        <v>5381</v>
      </c>
      <c r="H249" s="6" t="s">
        <v>5382</v>
      </c>
      <c r="I249" s="6" t="s">
        <v>830</v>
      </c>
      <c r="J249" s="6"/>
      <c r="K249" s="6" t="s">
        <v>827</v>
      </c>
      <c r="L249" s="6"/>
      <c r="M249" s="6" t="s">
        <v>5383</v>
      </c>
      <c r="N249" s="6">
        <v>50.104650800000002</v>
      </c>
      <c r="O249" s="6">
        <v>13.727346900000001</v>
      </c>
      <c r="P249" s="6"/>
      <c r="Q249" s="6"/>
      <c r="R249" s="6"/>
      <c r="S249" s="6"/>
      <c r="T249" s="6"/>
      <c r="U249" s="6"/>
      <c r="V249" s="6"/>
      <c r="W249" s="6"/>
      <c r="X249" s="6"/>
    </row>
    <row r="250" spans="1:36">
      <c r="A250" s="6">
        <v>262</v>
      </c>
      <c r="B250" s="6" t="s">
        <v>5384</v>
      </c>
      <c r="C250" s="6" t="s">
        <v>827</v>
      </c>
      <c r="D250" s="6" t="s">
        <v>1223</v>
      </c>
      <c r="E250" s="12" t="s">
        <v>5385</v>
      </c>
      <c r="F250" s="6" t="s">
        <v>4178</v>
      </c>
      <c r="G250" s="6" t="s">
        <v>5356</v>
      </c>
      <c r="H250" s="6"/>
      <c r="I250" s="6" t="s">
        <v>830</v>
      </c>
      <c r="J250" s="6"/>
      <c r="K250" s="6" t="s">
        <v>827</v>
      </c>
      <c r="L250" s="6"/>
      <c r="M250" s="6" t="s">
        <v>5386</v>
      </c>
      <c r="N250" s="6">
        <v>50.350935</v>
      </c>
      <c r="O250" s="6">
        <v>14.4758703</v>
      </c>
      <c r="P250" s="6"/>
      <c r="Q250" s="6"/>
      <c r="R250" s="6"/>
      <c r="S250" s="6"/>
      <c r="T250" s="6"/>
      <c r="U250" s="6"/>
      <c r="V250" s="6"/>
      <c r="W250" s="6"/>
    </row>
    <row r="251" spans="1:36">
      <c r="A251" s="6">
        <v>263</v>
      </c>
      <c r="B251" s="12" t="s">
        <v>5387</v>
      </c>
      <c r="C251" s="6" t="s">
        <v>827</v>
      </c>
      <c r="D251" s="6" t="s">
        <v>5388</v>
      </c>
      <c r="E251" s="12" t="s">
        <v>5389</v>
      </c>
      <c r="F251" s="6" t="s">
        <v>4178</v>
      </c>
      <c r="G251" s="6" t="s">
        <v>5356</v>
      </c>
      <c r="H251" s="6" t="s">
        <v>5390</v>
      </c>
      <c r="I251" s="6" t="s">
        <v>830</v>
      </c>
      <c r="J251" s="6"/>
      <c r="K251" s="6" t="s">
        <v>827</v>
      </c>
      <c r="L251" s="6"/>
      <c r="M251" s="6" t="s">
        <v>5391</v>
      </c>
      <c r="N251" s="6">
        <v>50.042529399999999</v>
      </c>
      <c r="O251" s="6">
        <v>14.4390953</v>
      </c>
      <c r="P251" s="6"/>
      <c r="Q251" s="6"/>
      <c r="R251" s="6"/>
      <c r="S251" s="6"/>
      <c r="T251" s="6"/>
      <c r="U251" s="6"/>
      <c r="V251" s="6"/>
      <c r="W251" s="6"/>
      <c r="X251" s="6"/>
      <c r="Z251" s="9" t="s">
        <v>47</v>
      </c>
    </row>
    <row r="252" spans="1:36">
      <c r="A252" s="6">
        <v>264</v>
      </c>
      <c r="B252" s="6" t="s">
        <v>5392</v>
      </c>
      <c r="C252" s="6" t="s">
        <v>827</v>
      </c>
      <c r="D252" s="6" t="s">
        <v>5393</v>
      </c>
      <c r="E252" s="12" t="s">
        <v>5394</v>
      </c>
      <c r="F252" s="6" t="s">
        <v>4178</v>
      </c>
      <c r="G252" s="6" t="s">
        <v>5356</v>
      </c>
      <c r="H252" s="6" t="s">
        <v>5395</v>
      </c>
      <c r="I252" s="6" t="s">
        <v>830</v>
      </c>
      <c r="J252" s="6"/>
      <c r="K252" s="6" t="s">
        <v>827</v>
      </c>
      <c r="L252" s="6"/>
      <c r="M252" s="6" t="s">
        <v>5396</v>
      </c>
      <c r="N252" s="6">
        <v>50.065223899999999</v>
      </c>
      <c r="O252" s="6">
        <v>14.3010039</v>
      </c>
      <c r="P252" s="6"/>
      <c r="Q252" s="6"/>
      <c r="R252" s="6"/>
      <c r="S252" s="6"/>
      <c r="T252" s="6"/>
      <c r="U252" s="6"/>
      <c r="V252" s="6"/>
      <c r="W252" s="6"/>
      <c r="X252" s="6"/>
    </row>
    <row r="253" spans="1:36">
      <c r="A253" s="6">
        <v>265</v>
      </c>
      <c r="B253" s="6" t="s">
        <v>5397</v>
      </c>
      <c r="C253" s="6" t="s">
        <v>2153</v>
      </c>
      <c r="D253" s="6" t="s">
        <v>5398</v>
      </c>
      <c r="E253" s="12" t="s">
        <v>5399</v>
      </c>
      <c r="F253" s="6" t="s">
        <v>4170</v>
      </c>
      <c r="G253" s="6" t="s">
        <v>5400</v>
      </c>
      <c r="H253" s="6"/>
      <c r="I253" s="6" t="s">
        <v>2157</v>
      </c>
      <c r="J253" s="6"/>
      <c r="K253" s="6" t="s">
        <v>2153</v>
      </c>
      <c r="L253" s="6"/>
      <c r="M253" s="6" t="s">
        <v>5401</v>
      </c>
      <c r="N253" s="6">
        <v>49.8286467</v>
      </c>
      <c r="O253" s="6">
        <v>18.260200600000001</v>
      </c>
      <c r="P253" s="6"/>
      <c r="Q253" s="6"/>
      <c r="R253" s="6"/>
      <c r="S253" s="6"/>
      <c r="T253" s="6"/>
      <c r="U253" s="6"/>
      <c r="V253" s="6"/>
      <c r="W253" s="6"/>
    </row>
    <row r="254" spans="1:36">
      <c r="A254" s="6">
        <v>266</v>
      </c>
      <c r="B254" s="6" t="s">
        <v>5402</v>
      </c>
      <c r="C254" s="6" t="s">
        <v>2153</v>
      </c>
      <c r="D254" s="6" t="s">
        <v>123</v>
      </c>
      <c r="E254" s="12" t="s">
        <v>5403</v>
      </c>
      <c r="F254" s="6" t="s">
        <v>4170</v>
      </c>
      <c r="G254" s="6" t="s">
        <v>5400</v>
      </c>
      <c r="H254" s="6" t="s">
        <v>5404</v>
      </c>
      <c r="I254" s="6" t="s">
        <v>2157</v>
      </c>
      <c r="J254" s="6"/>
      <c r="K254" s="6" t="s">
        <v>2153</v>
      </c>
      <c r="L254" s="6"/>
      <c r="M254" s="6" t="s">
        <v>5405</v>
      </c>
      <c r="N254" s="6">
        <v>49.837006700000003</v>
      </c>
      <c r="O254" s="6">
        <v>18.262991100000001</v>
      </c>
      <c r="P254" s="6"/>
      <c r="Q254" s="6"/>
      <c r="R254" s="6"/>
      <c r="S254" s="6"/>
      <c r="T254" s="6"/>
      <c r="U254" s="6"/>
      <c r="V254" s="6"/>
      <c r="W254" s="6"/>
    </row>
    <row r="255" spans="1:36">
      <c r="A255" s="6">
        <v>267</v>
      </c>
      <c r="B255" s="6" t="s">
        <v>5406</v>
      </c>
      <c r="C255" s="6" t="s">
        <v>2153</v>
      </c>
      <c r="D255" s="6" t="s">
        <v>3935</v>
      </c>
      <c r="E255" s="12" t="s">
        <v>5407</v>
      </c>
      <c r="F255" s="6" t="s">
        <v>4170</v>
      </c>
      <c r="G255" s="6" t="s">
        <v>5400</v>
      </c>
      <c r="H255" s="6" t="s">
        <v>5408</v>
      </c>
      <c r="I255" s="6" t="s">
        <v>2157</v>
      </c>
      <c r="J255" s="6"/>
      <c r="K255" s="6" t="s">
        <v>2153</v>
      </c>
      <c r="L255" s="6"/>
      <c r="M255" s="6" t="s">
        <v>5409</v>
      </c>
      <c r="N255" s="6">
        <v>49.785471100000002</v>
      </c>
      <c r="O255" s="6">
        <v>18.2651675</v>
      </c>
      <c r="P255" s="6"/>
      <c r="Q255" s="6"/>
      <c r="R255" s="6"/>
      <c r="S255" s="6"/>
      <c r="T255" s="6"/>
      <c r="U255" s="6"/>
      <c r="V255" s="6"/>
      <c r="W255" s="6"/>
    </row>
    <row r="256" spans="1:36">
      <c r="A256" s="6">
        <v>268</v>
      </c>
      <c r="B256" s="6" t="s">
        <v>5410</v>
      </c>
      <c r="C256" s="6" t="s">
        <v>2153</v>
      </c>
      <c r="D256" s="6" t="s">
        <v>259</v>
      </c>
      <c r="E256" s="12" t="s">
        <v>5411</v>
      </c>
      <c r="F256" s="6" t="s">
        <v>4170</v>
      </c>
      <c r="G256" s="6" t="s">
        <v>5400</v>
      </c>
      <c r="H256" s="6" t="s">
        <v>5412</v>
      </c>
      <c r="I256" s="6" t="s">
        <v>2157</v>
      </c>
      <c r="J256" s="6"/>
      <c r="K256" s="6" t="s">
        <v>2153</v>
      </c>
      <c r="L256" s="6"/>
      <c r="M256" s="6" t="s">
        <v>5413</v>
      </c>
      <c r="N256" s="6">
        <v>49.670178300000003</v>
      </c>
      <c r="O256" s="6">
        <v>18.3456461</v>
      </c>
      <c r="P256" s="6"/>
      <c r="Q256" s="6"/>
      <c r="R256" s="6"/>
      <c r="S256" s="6"/>
      <c r="T256" s="6"/>
      <c r="U256" s="6"/>
      <c r="V256" s="6"/>
      <c r="W256" s="6"/>
    </row>
    <row r="257" spans="1:36">
      <c r="A257" s="6">
        <v>269</v>
      </c>
      <c r="B257" s="6" t="s">
        <v>5414</v>
      </c>
      <c r="C257" s="6" t="s">
        <v>2153</v>
      </c>
      <c r="D257" s="6" t="s">
        <v>111</v>
      </c>
      <c r="E257" s="12" t="s">
        <v>5415</v>
      </c>
      <c r="F257" s="6" t="s">
        <v>4170</v>
      </c>
      <c r="G257" s="6" t="s">
        <v>5400</v>
      </c>
      <c r="H257" s="6" t="s">
        <v>5416</v>
      </c>
      <c r="I257" s="6" t="s">
        <v>2157</v>
      </c>
      <c r="J257" s="6"/>
      <c r="K257" s="6" t="s">
        <v>2153</v>
      </c>
      <c r="L257" s="6"/>
      <c r="M257" s="6" t="s">
        <v>5417</v>
      </c>
      <c r="N257" s="6">
        <v>49.840921399999999</v>
      </c>
      <c r="O257" s="6">
        <v>18.178056099999999</v>
      </c>
      <c r="P257" s="6"/>
      <c r="Q257" s="6"/>
      <c r="R257" s="6"/>
      <c r="S257" s="6"/>
      <c r="T257" s="6"/>
      <c r="U257" s="6"/>
      <c r="V257" s="6"/>
      <c r="W257" s="6"/>
    </row>
    <row r="258" spans="1:36">
      <c r="A258" s="6">
        <v>270</v>
      </c>
      <c r="B258" s="6" t="s">
        <v>5418</v>
      </c>
      <c r="C258" s="6" t="s">
        <v>2153</v>
      </c>
      <c r="D258" s="6" t="s">
        <v>3935</v>
      </c>
      <c r="E258" s="12" t="s">
        <v>5419</v>
      </c>
      <c r="F258" s="6" t="s">
        <v>4170</v>
      </c>
      <c r="G258" s="6" t="s">
        <v>5400</v>
      </c>
      <c r="H258" s="6" t="s">
        <v>5420</v>
      </c>
      <c r="I258" s="6" t="s">
        <v>2157</v>
      </c>
      <c r="J258" s="6"/>
      <c r="K258" s="6" t="s">
        <v>2153</v>
      </c>
      <c r="L258" s="6"/>
      <c r="M258" s="6" t="s">
        <v>5421</v>
      </c>
      <c r="N258" s="6">
        <v>49.784116900000001</v>
      </c>
      <c r="O258" s="6">
        <v>18.249936099999999</v>
      </c>
      <c r="P258" s="6"/>
      <c r="Q258" s="6"/>
      <c r="R258" s="6"/>
      <c r="S258" s="6"/>
      <c r="T258" s="6"/>
      <c r="U258" s="6"/>
      <c r="V258" s="6"/>
      <c r="W258" s="6"/>
      <c r="Y258" s="6"/>
      <c r="Z258" s="6"/>
      <c r="AA258" s="6"/>
      <c r="AB258" s="6"/>
      <c r="AC258" s="6"/>
      <c r="AD258" s="6"/>
      <c r="AE258" s="6"/>
      <c r="AF258" s="6"/>
      <c r="AG258" s="6"/>
      <c r="AH258" s="6"/>
      <c r="AI258" s="6"/>
      <c r="AJ258" s="6"/>
    </row>
    <row r="259" spans="1:36">
      <c r="A259" s="6">
        <v>271</v>
      </c>
      <c r="B259" s="6" t="s">
        <v>5422</v>
      </c>
      <c r="C259" s="6" t="s">
        <v>2153</v>
      </c>
      <c r="D259" s="6" t="s">
        <v>123</v>
      </c>
      <c r="E259" s="12" t="s">
        <v>5423</v>
      </c>
      <c r="F259" s="6" t="s">
        <v>4170</v>
      </c>
      <c r="G259" s="6" t="s">
        <v>5400</v>
      </c>
      <c r="H259" s="6" t="s">
        <v>5424</v>
      </c>
      <c r="I259" s="6" t="s">
        <v>2157</v>
      </c>
      <c r="J259" s="6"/>
      <c r="K259" s="6" t="s">
        <v>2153</v>
      </c>
      <c r="L259" s="6"/>
      <c r="M259" s="6" t="s">
        <v>5425</v>
      </c>
      <c r="N259" s="6">
        <v>49.836725800000004</v>
      </c>
      <c r="O259" s="6">
        <v>18.286190000000001</v>
      </c>
      <c r="P259" s="6"/>
      <c r="Q259" s="6"/>
      <c r="R259" s="6"/>
      <c r="S259" s="6"/>
      <c r="T259" s="6"/>
      <c r="U259" s="6"/>
      <c r="V259" s="6"/>
      <c r="W259" s="6"/>
    </row>
    <row r="260" spans="1:36">
      <c r="A260" s="6">
        <v>272</v>
      </c>
      <c r="B260" s="6" t="s">
        <v>5426</v>
      </c>
      <c r="C260" s="6" t="s">
        <v>2153</v>
      </c>
      <c r="D260" s="6" t="s">
        <v>111</v>
      </c>
      <c r="E260" s="12" t="s">
        <v>5427</v>
      </c>
      <c r="F260" s="6" t="s">
        <v>4170</v>
      </c>
      <c r="G260" s="6" t="s">
        <v>5400</v>
      </c>
      <c r="H260" s="6" t="s">
        <v>5428</v>
      </c>
      <c r="I260" s="6" t="s">
        <v>2157</v>
      </c>
      <c r="J260" s="6"/>
      <c r="K260" s="6" t="s">
        <v>2153</v>
      </c>
      <c r="L260" s="6"/>
      <c r="M260" s="6" t="s">
        <v>5429</v>
      </c>
      <c r="N260" s="6">
        <v>49.846834200000004</v>
      </c>
      <c r="O260" s="6">
        <v>18.158816099999999</v>
      </c>
      <c r="P260" s="6"/>
      <c r="Q260" s="6"/>
      <c r="R260" s="6"/>
      <c r="S260" s="6"/>
      <c r="T260" s="6"/>
      <c r="U260" s="6"/>
      <c r="V260" s="6"/>
      <c r="W260" s="6"/>
    </row>
    <row r="261" spans="1:36">
      <c r="A261" s="6">
        <v>273</v>
      </c>
      <c r="B261" s="6" t="s">
        <v>5430</v>
      </c>
      <c r="C261" s="6" t="s">
        <v>2153</v>
      </c>
      <c r="D261" s="6" t="s">
        <v>111</v>
      </c>
      <c r="E261" s="12" t="s">
        <v>5431</v>
      </c>
      <c r="F261" s="6" t="s">
        <v>4170</v>
      </c>
      <c r="G261" s="6" t="s">
        <v>5400</v>
      </c>
      <c r="H261" s="6" t="s">
        <v>5432</v>
      </c>
      <c r="I261" s="6" t="s">
        <v>2157</v>
      </c>
      <c r="J261" s="6"/>
      <c r="K261" s="6" t="s">
        <v>2153</v>
      </c>
      <c r="L261" s="6"/>
      <c r="M261" s="6" t="s">
        <v>5433</v>
      </c>
      <c r="N261" s="6">
        <v>49.8356858</v>
      </c>
      <c r="O261" s="6">
        <v>18.183216699999999</v>
      </c>
      <c r="P261" s="6"/>
      <c r="Q261" s="6"/>
      <c r="R261" s="6"/>
      <c r="S261" s="6"/>
      <c r="T261" s="6"/>
      <c r="U261" s="6"/>
      <c r="V261" s="6"/>
      <c r="W261" s="6"/>
    </row>
    <row r="262" spans="1:36">
      <c r="A262" s="6">
        <v>274</v>
      </c>
      <c r="B262" s="6" t="s">
        <v>5434</v>
      </c>
      <c r="C262" s="6" t="s">
        <v>2153</v>
      </c>
      <c r="D262" s="6" t="s">
        <v>5398</v>
      </c>
      <c r="E262" s="12" t="s">
        <v>5435</v>
      </c>
      <c r="F262" s="6" t="s">
        <v>4170</v>
      </c>
      <c r="G262" s="6" t="s">
        <v>5400</v>
      </c>
      <c r="H262" s="6"/>
      <c r="I262" s="6" t="s">
        <v>2157</v>
      </c>
      <c r="J262" s="6"/>
      <c r="K262" s="6" t="s">
        <v>2153</v>
      </c>
      <c r="L262" s="6"/>
      <c r="M262" s="6" t="s">
        <v>5436</v>
      </c>
      <c r="N262" s="6">
        <v>49.831906400000001</v>
      </c>
      <c r="O262" s="6">
        <v>18.250594700000001</v>
      </c>
      <c r="P262" s="6"/>
      <c r="Q262" s="6"/>
      <c r="R262" s="6"/>
      <c r="S262" s="6"/>
      <c r="T262" s="6"/>
      <c r="U262" s="6"/>
      <c r="V262" s="6"/>
      <c r="W262" s="6"/>
    </row>
    <row r="263" spans="1:36">
      <c r="A263" s="6">
        <v>275</v>
      </c>
      <c r="B263" s="6" t="s">
        <v>5437</v>
      </c>
      <c r="C263" s="6" t="s">
        <v>3532</v>
      </c>
      <c r="D263" s="6" t="s">
        <v>3534</v>
      </c>
      <c r="E263" s="12" t="s">
        <v>5438</v>
      </c>
      <c r="F263" s="6" t="s">
        <v>4170</v>
      </c>
      <c r="G263" s="6"/>
      <c r="H263" s="6" t="s">
        <v>5439</v>
      </c>
      <c r="I263" s="6" t="s">
        <v>3536</v>
      </c>
      <c r="J263" s="6"/>
      <c r="K263" s="6" t="s">
        <v>3532</v>
      </c>
      <c r="L263" s="6"/>
      <c r="M263" s="6" t="s">
        <v>5440</v>
      </c>
      <c r="N263" s="6">
        <v>49.659618299999998</v>
      </c>
      <c r="O263" s="6">
        <v>13.5252219</v>
      </c>
      <c r="P263" s="6"/>
      <c r="Q263" s="6"/>
      <c r="R263" s="6"/>
      <c r="S263" s="6"/>
      <c r="T263" s="6"/>
      <c r="U263" s="6"/>
      <c r="V263" s="6"/>
      <c r="W263" s="6"/>
      <c r="X263" s="6"/>
    </row>
    <row r="264" spans="1:36">
      <c r="A264" s="6">
        <v>276</v>
      </c>
      <c r="B264" s="10" t="s">
        <v>5441</v>
      </c>
      <c r="C264" s="6"/>
      <c r="D264" s="6" t="s">
        <v>711</v>
      </c>
      <c r="E264" s="12" t="s">
        <v>5442</v>
      </c>
      <c r="F264" s="6" t="s">
        <v>4111</v>
      </c>
      <c r="G264" s="6" t="s">
        <v>5443</v>
      </c>
      <c r="H264" s="6" t="s">
        <v>5444</v>
      </c>
      <c r="I264" s="6" t="s">
        <v>5445</v>
      </c>
      <c r="J264" s="6" t="s">
        <v>4111</v>
      </c>
      <c r="K264" s="12" t="s">
        <v>4115</v>
      </c>
      <c r="L264" s="6"/>
      <c r="M264" s="6" t="s">
        <v>5446</v>
      </c>
      <c r="N264" s="14">
        <v>50.089096099999999</v>
      </c>
      <c r="O264" s="14">
        <v>14.4277</v>
      </c>
      <c r="P264" s="6"/>
      <c r="Q264" s="6"/>
      <c r="R264" s="6"/>
      <c r="S264" s="6"/>
      <c r="T264" s="6"/>
      <c r="U264" s="6"/>
      <c r="V264" s="6"/>
      <c r="W264" s="6"/>
      <c r="X264" s="6"/>
    </row>
    <row r="265" spans="1:36">
      <c r="A265" s="6">
        <v>277</v>
      </c>
      <c r="B265" s="6" t="s">
        <v>5447</v>
      </c>
      <c r="C265" s="6"/>
      <c r="D265" s="6" t="s">
        <v>1018</v>
      </c>
      <c r="E265" s="12" t="s">
        <v>5448</v>
      </c>
      <c r="F265" s="6" t="s">
        <v>4111</v>
      </c>
      <c r="G265" s="6"/>
      <c r="H265" s="6" t="s">
        <v>5449</v>
      </c>
      <c r="I265" s="6" t="s">
        <v>5450</v>
      </c>
      <c r="J265" s="6"/>
      <c r="K265" s="12" t="s">
        <v>4115</v>
      </c>
      <c r="L265" s="6"/>
      <c r="M265" s="6" t="s">
        <v>5451</v>
      </c>
      <c r="N265" s="14">
        <v>49.197290600000002</v>
      </c>
      <c r="O265" s="14">
        <v>16.6078078</v>
      </c>
      <c r="P265" s="6"/>
      <c r="Q265" s="6"/>
      <c r="R265" s="6"/>
      <c r="S265" s="6"/>
      <c r="T265" s="6"/>
      <c r="U265" s="6"/>
      <c r="V265" s="6"/>
      <c r="W265" s="6"/>
    </row>
    <row r="266" spans="1:36">
      <c r="A266" s="6">
        <v>278</v>
      </c>
      <c r="B266" s="6" t="s">
        <v>5452</v>
      </c>
      <c r="C266" s="6"/>
      <c r="D266" s="6" t="s">
        <v>1018</v>
      </c>
      <c r="E266" s="12" t="s">
        <v>5453</v>
      </c>
      <c r="F266" s="6" t="s">
        <v>4111</v>
      </c>
      <c r="G266" s="15" t="s">
        <v>5454</v>
      </c>
      <c r="H266" s="6" t="s">
        <v>5455</v>
      </c>
      <c r="I266" s="6" t="s">
        <v>5456</v>
      </c>
      <c r="J266" s="6"/>
      <c r="K266" s="12" t="s">
        <v>4115</v>
      </c>
      <c r="L266" s="6"/>
      <c r="M266" s="6" t="s">
        <v>5457</v>
      </c>
      <c r="N266" s="14">
        <v>49.203161899999998</v>
      </c>
      <c r="O266" s="14">
        <v>16.5968111</v>
      </c>
      <c r="P266" s="6"/>
      <c r="Q266" s="6"/>
      <c r="R266" s="6"/>
      <c r="S266" s="6"/>
      <c r="T266" s="6"/>
      <c r="U266" s="6"/>
      <c r="V266" s="6"/>
      <c r="W266" s="6"/>
      <c r="X266" s="6"/>
    </row>
    <row r="267" spans="1:36">
      <c r="A267" s="6">
        <v>279</v>
      </c>
      <c r="B267" s="6" t="s">
        <v>5458</v>
      </c>
      <c r="C267" s="6"/>
      <c r="D267" s="6" t="s">
        <v>5315</v>
      </c>
      <c r="E267" s="12" t="s">
        <v>5459</v>
      </c>
      <c r="F267" s="6" t="s">
        <v>4111</v>
      </c>
      <c r="G267" s="6"/>
      <c r="H267" s="6" t="s">
        <v>5460</v>
      </c>
      <c r="I267" s="6" t="s">
        <v>5461</v>
      </c>
      <c r="J267" s="6"/>
      <c r="K267" s="12" t="s">
        <v>5462</v>
      </c>
      <c r="L267" s="6"/>
      <c r="M267" s="6" t="s">
        <v>5463</v>
      </c>
      <c r="N267" s="14">
        <v>49.224918099999996</v>
      </c>
      <c r="O267" s="14">
        <v>16.583185</v>
      </c>
      <c r="P267" s="6"/>
      <c r="Q267" s="6"/>
      <c r="R267" s="6"/>
      <c r="S267" s="6"/>
      <c r="T267" s="6"/>
      <c r="U267" s="6"/>
      <c r="V267" s="6"/>
      <c r="W267" s="6"/>
      <c r="Y267" s="6"/>
      <c r="Z267" s="6"/>
      <c r="AA267" s="6"/>
      <c r="AB267" s="6"/>
      <c r="AC267" s="6"/>
      <c r="AD267" s="6"/>
      <c r="AE267" s="6"/>
      <c r="AF267" s="6"/>
      <c r="AG267" s="6"/>
      <c r="AH267" s="6"/>
      <c r="AI267" s="6"/>
      <c r="AJ267" s="6"/>
    </row>
    <row r="268" spans="1:36">
      <c r="A268" s="6">
        <v>280</v>
      </c>
      <c r="B268" s="6" t="s">
        <v>3150</v>
      </c>
      <c r="C268" s="6" t="s">
        <v>953</v>
      </c>
      <c r="D268" s="6" t="s">
        <v>953</v>
      </c>
      <c r="E268" s="12" t="s">
        <v>5464</v>
      </c>
      <c r="F268" s="6" t="s">
        <v>4150</v>
      </c>
      <c r="G268" s="6" t="s">
        <v>5465</v>
      </c>
      <c r="H268" s="6"/>
      <c r="I268" s="6" t="s">
        <v>3147</v>
      </c>
      <c r="J268" s="6"/>
      <c r="K268" s="6" t="s">
        <v>953</v>
      </c>
      <c r="L268" s="6"/>
      <c r="M268" s="6" t="s">
        <v>5466</v>
      </c>
      <c r="N268" s="28">
        <v>49.349589999999999</v>
      </c>
      <c r="O268" s="28">
        <v>16.4200856</v>
      </c>
      <c r="P268" s="6"/>
      <c r="Q268" s="6"/>
      <c r="R268" s="6"/>
      <c r="S268" s="6"/>
      <c r="T268" s="6"/>
      <c r="U268" s="6"/>
      <c r="V268" s="6"/>
      <c r="W268" s="6"/>
      <c r="X268" s="6"/>
    </row>
    <row r="269" spans="1:36">
      <c r="A269" s="6">
        <v>281</v>
      </c>
      <c r="B269" s="6" t="s">
        <v>5467</v>
      </c>
      <c r="C269" s="6"/>
      <c r="D269" s="6" t="s">
        <v>1018</v>
      </c>
      <c r="E269" s="12" t="s">
        <v>5468</v>
      </c>
      <c r="F269" s="6" t="s">
        <v>4111</v>
      </c>
      <c r="G269" s="6" t="s">
        <v>5469</v>
      </c>
      <c r="H269" s="6" t="s">
        <v>5470</v>
      </c>
      <c r="I269" t="s">
        <v>5471</v>
      </c>
      <c r="J269" s="6" t="s">
        <v>4111</v>
      </c>
      <c r="K269" s="12" t="s">
        <v>5472</v>
      </c>
      <c r="L269" s="6"/>
      <c r="M269" s="6" t="s">
        <v>5473</v>
      </c>
      <c r="N269" s="14">
        <v>49.191621099999999</v>
      </c>
      <c r="O269" s="14">
        <v>16.606126400000001</v>
      </c>
      <c r="P269" s="6"/>
      <c r="Q269" s="6"/>
      <c r="R269" s="6"/>
      <c r="S269" s="6"/>
      <c r="T269" s="6"/>
      <c r="U269" s="6"/>
      <c r="V269" s="6"/>
      <c r="W269" s="6"/>
    </row>
    <row r="270" spans="1:36">
      <c r="A270" s="6">
        <v>283</v>
      </c>
      <c r="B270" s="10" t="s">
        <v>5474</v>
      </c>
      <c r="C270" s="10" t="s">
        <v>5474</v>
      </c>
      <c r="D270" s="6" t="s">
        <v>1018</v>
      </c>
      <c r="E270" s="12" t="s">
        <v>5475</v>
      </c>
      <c r="F270" s="6" t="s">
        <v>4150</v>
      </c>
      <c r="G270" s="6"/>
      <c r="H270" s="6" t="s">
        <v>5476</v>
      </c>
      <c r="I270" s="6" t="s">
        <v>5477</v>
      </c>
      <c r="J270" s="6" t="s">
        <v>5478</v>
      </c>
      <c r="K270" s="10" t="s">
        <v>5474</v>
      </c>
      <c r="L270" s="6"/>
      <c r="M270" s="6" t="s">
        <v>5479</v>
      </c>
      <c r="N270" s="14">
        <v>49.192809199999999</v>
      </c>
      <c r="O270" s="14">
        <v>16.600855800000001</v>
      </c>
      <c r="P270" s="6"/>
      <c r="Q270" s="6"/>
      <c r="R270" s="6"/>
      <c r="S270" s="6"/>
      <c r="T270" s="6"/>
      <c r="U270" s="6"/>
      <c r="V270" s="6"/>
      <c r="W270" s="6"/>
      <c r="Y270" s="6"/>
      <c r="Z270" s="6"/>
      <c r="AA270" s="6"/>
      <c r="AB270" s="6"/>
      <c r="AC270" s="6"/>
      <c r="AD270" s="6"/>
      <c r="AE270" s="6"/>
      <c r="AF270" s="6"/>
      <c r="AG270" s="6"/>
      <c r="AH270" s="6"/>
      <c r="AI270" s="6"/>
      <c r="AJ270" s="6"/>
    </row>
    <row r="271" spans="1:36">
      <c r="A271" s="6">
        <v>284</v>
      </c>
      <c r="B271" s="6" t="s">
        <v>329</v>
      </c>
      <c r="C271" s="6" t="s">
        <v>321</v>
      </c>
      <c r="D271" s="6" t="s">
        <v>1140</v>
      </c>
      <c r="E271" s="12" t="s">
        <v>5480</v>
      </c>
      <c r="F271" s="6" t="s">
        <v>4150</v>
      </c>
      <c r="G271" s="6" t="s">
        <v>5481</v>
      </c>
      <c r="H271" s="6" t="s">
        <v>5482</v>
      </c>
      <c r="I271" s="6" t="s">
        <v>326</v>
      </c>
      <c r="J271" s="6"/>
      <c r="K271" s="6" t="s">
        <v>321</v>
      </c>
      <c r="L271" s="6"/>
      <c r="M271" s="6" t="s">
        <v>5483</v>
      </c>
      <c r="N271" s="6">
        <v>49.735470300000003</v>
      </c>
      <c r="O271" s="6">
        <v>13.3707058</v>
      </c>
      <c r="P271" s="6"/>
      <c r="Q271" s="6"/>
      <c r="R271" s="6"/>
      <c r="S271" s="6"/>
      <c r="T271" s="6"/>
      <c r="U271" s="6"/>
      <c r="V271" s="6"/>
      <c r="W271" s="6"/>
      <c r="X271" s="6"/>
    </row>
    <row r="272" spans="1:36">
      <c r="A272" s="6">
        <v>285</v>
      </c>
      <c r="B272" s="6" t="s">
        <v>5484</v>
      </c>
      <c r="C272" s="6"/>
      <c r="D272" s="6" t="s">
        <v>1018</v>
      </c>
      <c r="E272" s="12" t="s">
        <v>5485</v>
      </c>
      <c r="F272" s="6" t="s">
        <v>4111</v>
      </c>
      <c r="G272" s="6"/>
      <c r="H272" s="6" t="s">
        <v>5486</v>
      </c>
      <c r="I272" s="6" t="s">
        <v>5487</v>
      </c>
      <c r="J272" s="6"/>
      <c r="K272" s="12" t="s">
        <v>4115</v>
      </c>
      <c r="M272" s="6" t="s">
        <v>5488</v>
      </c>
      <c r="N272" s="14">
        <v>49.223480000000002</v>
      </c>
      <c r="O272" s="14">
        <v>16.593253300000001</v>
      </c>
      <c r="R272" s="6"/>
      <c r="S272" s="6"/>
      <c r="T272" s="6"/>
      <c r="U272" s="6"/>
      <c r="V272" s="6"/>
      <c r="W272" s="6"/>
      <c r="Y272" s="6"/>
      <c r="Z272" s="6"/>
      <c r="AA272" s="6"/>
      <c r="AB272" s="6"/>
      <c r="AC272" s="6"/>
      <c r="AD272" s="6"/>
      <c r="AE272" s="6"/>
      <c r="AF272" s="6"/>
      <c r="AG272" s="6"/>
      <c r="AH272" s="6"/>
      <c r="AI272" s="6"/>
      <c r="AJ272" s="6"/>
    </row>
    <row r="273" spans="1:36">
      <c r="A273" s="6">
        <v>287</v>
      </c>
      <c r="B273" s="6" t="s">
        <v>5489</v>
      </c>
      <c r="C273" s="6"/>
      <c r="D273" s="6" t="s">
        <v>574</v>
      </c>
      <c r="E273" s="12" t="s">
        <v>5490</v>
      </c>
      <c r="F273" s="6" t="s">
        <v>4111</v>
      </c>
      <c r="G273" s="6" t="s">
        <v>5491</v>
      </c>
      <c r="H273" s="6" t="s">
        <v>5492</v>
      </c>
      <c r="I273" s="6" t="s">
        <v>5493</v>
      </c>
      <c r="J273" s="6"/>
      <c r="K273" s="12" t="s">
        <v>4115</v>
      </c>
      <c r="L273" s="6"/>
      <c r="M273" s="6" t="s">
        <v>5494</v>
      </c>
      <c r="N273" s="14">
        <v>50.233621399999997</v>
      </c>
      <c r="O273" s="14">
        <v>12.8582486</v>
      </c>
      <c r="P273" s="6"/>
      <c r="Q273" s="6"/>
      <c r="R273" s="6"/>
      <c r="S273" s="6"/>
      <c r="T273" s="6"/>
      <c r="U273" s="6"/>
      <c r="V273" s="6"/>
      <c r="W273" s="6"/>
      <c r="Y273" s="6"/>
      <c r="Z273" s="12" t="s">
        <v>47</v>
      </c>
      <c r="AA273" s="6"/>
      <c r="AB273" s="6"/>
      <c r="AC273" s="6"/>
      <c r="AD273" s="6"/>
      <c r="AE273" s="6"/>
      <c r="AF273" s="6"/>
      <c r="AG273" s="6"/>
      <c r="AH273" s="6"/>
      <c r="AI273" s="6"/>
      <c r="AJ273" s="6"/>
    </row>
    <row r="274" spans="1:36">
      <c r="A274" s="6">
        <v>288</v>
      </c>
      <c r="B274" s="6" t="s">
        <v>3168</v>
      </c>
      <c r="C274" s="6"/>
      <c r="D274" s="6" t="s">
        <v>5495</v>
      </c>
      <c r="E274" s="12" t="s">
        <v>5496</v>
      </c>
      <c r="F274" s="6" t="s">
        <v>4111</v>
      </c>
      <c r="G274" s="6" t="s">
        <v>5497</v>
      </c>
      <c r="H274" s="6" t="s">
        <v>5498</v>
      </c>
      <c r="I274" s="6" t="s">
        <v>5499</v>
      </c>
      <c r="J274" s="6" t="s">
        <v>4809</v>
      </c>
      <c r="K274" s="12" t="s">
        <v>4115</v>
      </c>
      <c r="L274" s="6"/>
      <c r="M274" s="6" t="s">
        <v>5500</v>
      </c>
      <c r="N274" s="14">
        <v>49.645042500000002</v>
      </c>
      <c r="O274" s="14">
        <v>18.1536008</v>
      </c>
      <c r="P274" s="6"/>
      <c r="Q274" s="6"/>
      <c r="R274" s="6"/>
      <c r="S274" s="6"/>
      <c r="T274" s="6"/>
      <c r="U274" s="6"/>
      <c r="V274" s="6"/>
      <c r="W274" s="6"/>
      <c r="X274" s="6"/>
    </row>
    <row r="275" spans="1:36">
      <c r="A275" s="6">
        <v>289</v>
      </c>
      <c r="B275" s="6" t="s">
        <v>5501</v>
      </c>
      <c r="C275" s="6" t="s">
        <v>1961</v>
      </c>
      <c r="D275" s="6" t="s">
        <v>5502</v>
      </c>
      <c r="E275" s="12" t="s">
        <v>5503</v>
      </c>
      <c r="F275" s="6" t="s">
        <v>4170</v>
      </c>
      <c r="G275" s="6"/>
      <c r="H275" s="6" t="s">
        <v>5504</v>
      </c>
      <c r="I275" s="6" t="s">
        <v>1965</v>
      </c>
      <c r="J275" s="6"/>
      <c r="K275" s="6" t="s">
        <v>1961</v>
      </c>
      <c r="L275" s="6"/>
      <c r="M275" s="6" t="s">
        <v>5505</v>
      </c>
      <c r="N275" s="28">
        <v>50.075876100000002</v>
      </c>
      <c r="O275" s="28">
        <v>15.9426936</v>
      </c>
      <c r="P275" s="6"/>
      <c r="Q275" s="6"/>
      <c r="R275" s="6"/>
      <c r="S275" s="6"/>
      <c r="T275" s="6"/>
      <c r="U275" s="6"/>
      <c r="V275" s="6"/>
      <c r="W275" s="6"/>
      <c r="Y275" s="6"/>
      <c r="Z275" s="6"/>
      <c r="AA275" s="6"/>
      <c r="AB275" s="6"/>
      <c r="AC275" s="6"/>
      <c r="AD275" s="6"/>
      <c r="AE275" s="6"/>
      <c r="AF275" s="6"/>
      <c r="AG275" s="6"/>
      <c r="AH275" s="6"/>
      <c r="AI275" s="6"/>
      <c r="AJ275" s="6"/>
    </row>
    <row r="276" spans="1:36">
      <c r="A276" s="6">
        <v>290</v>
      </c>
      <c r="B276" s="6" t="s">
        <v>5506</v>
      </c>
      <c r="C276" s="6"/>
      <c r="D276" s="6" t="s">
        <v>3224</v>
      </c>
      <c r="E276" s="12" t="s">
        <v>5507</v>
      </c>
      <c r="F276" s="6" t="s">
        <v>4111</v>
      </c>
      <c r="G276" s="6"/>
      <c r="H276" s="6" t="s">
        <v>5508</v>
      </c>
      <c r="I276" s="6" t="s">
        <v>5509</v>
      </c>
      <c r="J276" s="6" t="s">
        <v>118</v>
      </c>
      <c r="K276" s="12" t="s">
        <v>4115</v>
      </c>
      <c r="M276" s="6" t="s">
        <v>5510</v>
      </c>
      <c r="N276" s="14">
        <v>50.143966399999996</v>
      </c>
      <c r="O276" s="10">
        <v>15.1233986</v>
      </c>
      <c r="R276" s="6"/>
      <c r="S276" s="6"/>
      <c r="T276" s="6"/>
      <c r="U276" s="6"/>
      <c r="V276" s="6"/>
      <c r="W276" s="6"/>
      <c r="X276" s="6"/>
      <c r="Z276" s="9" t="s">
        <v>47</v>
      </c>
    </row>
    <row r="277" spans="1:36" ht="1.5" customHeight="1">
      <c r="A277" s="6">
        <v>291</v>
      </c>
      <c r="B277" s="6" t="s">
        <v>5511</v>
      </c>
      <c r="C277" s="6"/>
      <c r="D277" s="6" t="s">
        <v>1018</v>
      </c>
      <c r="E277" s="12" t="s">
        <v>5512</v>
      </c>
      <c r="F277" s="6" t="s">
        <v>4111</v>
      </c>
      <c r="G277" s="6"/>
      <c r="H277" s="6" t="s">
        <v>5513</v>
      </c>
      <c r="I277" s="6" t="s">
        <v>5514</v>
      </c>
      <c r="J277" s="6"/>
      <c r="K277" s="12" t="s">
        <v>4115</v>
      </c>
      <c r="L277" s="6"/>
      <c r="M277" s="6" t="s">
        <v>5515</v>
      </c>
      <c r="N277" s="14">
        <v>49.2107703</v>
      </c>
      <c r="O277" s="14">
        <v>16.586930299999999</v>
      </c>
      <c r="P277" s="6"/>
      <c r="Q277" s="6"/>
      <c r="R277" s="6"/>
      <c r="S277" s="6"/>
      <c r="T277" s="6"/>
      <c r="U277" s="6"/>
      <c r="V277" s="6"/>
      <c r="W277" s="6"/>
      <c r="Y277" s="6"/>
      <c r="Z277" s="6"/>
      <c r="AA277" s="6"/>
      <c r="AB277" s="6"/>
      <c r="AC277" s="6"/>
      <c r="AD277" s="6"/>
      <c r="AE277" s="6"/>
      <c r="AF277" s="6"/>
      <c r="AG277" s="6"/>
      <c r="AH277" s="6"/>
      <c r="AI277" s="6"/>
      <c r="AJ277" s="6"/>
    </row>
    <row r="278" spans="1:36">
      <c r="A278" s="6">
        <v>292</v>
      </c>
      <c r="B278" s="6" t="s">
        <v>5516</v>
      </c>
      <c r="C278" s="6"/>
      <c r="D278" s="6" t="s">
        <v>627</v>
      </c>
      <c r="E278" s="12" t="s">
        <v>5517</v>
      </c>
      <c r="F278" s="6" t="s">
        <v>4111</v>
      </c>
      <c r="G278" s="6"/>
      <c r="H278" s="6" t="s">
        <v>5518</v>
      </c>
      <c r="I278" s="6" t="s">
        <v>5519</v>
      </c>
      <c r="J278" s="6"/>
      <c r="K278" s="12" t="s">
        <v>4115</v>
      </c>
      <c r="L278" s="6"/>
      <c r="M278" s="6" t="s">
        <v>5520</v>
      </c>
      <c r="N278" s="14">
        <v>50.227015799999997</v>
      </c>
      <c r="O278" s="14">
        <v>17.195774700000001</v>
      </c>
      <c r="P278" s="6"/>
      <c r="Q278" s="6"/>
      <c r="R278" s="6"/>
      <c r="S278" s="6"/>
      <c r="T278" s="6"/>
      <c r="U278" s="6"/>
      <c r="V278" s="6"/>
      <c r="W278" s="6"/>
    </row>
    <row r="279" spans="1:36">
      <c r="A279" s="6">
        <v>293</v>
      </c>
      <c r="B279" s="6" t="s">
        <v>5521</v>
      </c>
      <c r="C279" s="6" t="s">
        <v>1961</v>
      </c>
      <c r="D279" s="6" t="s">
        <v>1963</v>
      </c>
      <c r="E279" s="12" t="s">
        <v>5522</v>
      </c>
      <c r="F279" s="6" t="s">
        <v>4170</v>
      </c>
      <c r="G279" s="6"/>
      <c r="H279" s="6" t="s">
        <v>5523</v>
      </c>
      <c r="I279" s="6" t="s">
        <v>1965</v>
      </c>
      <c r="J279" s="6"/>
      <c r="K279" s="6" t="s">
        <v>1961</v>
      </c>
      <c r="L279" s="6"/>
      <c r="M279" s="6" t="s">
        <v>5524</v>
      </c>
      <c r="N279" s="6">
        <v>50.0788753</v>
      </c>
      <c r="O279" s="6">
        <v>15.922220299999999</v>
      </c>
      <c r="P279" s="6"/>
      <c r="Q279" s="6"/>
      <c r="R279" s="6"/>
      <c r="S279" s="6"/>
      <c r="T279" s="6"/>
      <c r="U279" s="6"/>
      <c r="V279" s="6"/>
      <c r="W279" s="6"/>
    </row>
    <row r="280" spans="1:36">
      <c r="A280" s="6">
        <v>294</v>
      </c>
      <c r="B280" s="6" t="s">
        <v>5525</v>
      </c>
      <c r="C280" s="6"/>
      <c r="D280" s="6" t="s">
        <v>516</v>
      </c>
      <c r="E280" s="12" t="s">
        <v>5526</v>
      </c>
      <c r="F280" s="6" t="s">
        <v>4111</v>
      </c>
      <c r="G280" s="6" t="s">
        <v>5527</v>
      </c>
      <c r="H280" s="6" t="s">
        <v>5528</v>
      </c>
      <c r="I280" s="6" t="s">
        <v>5529</v>
      </c>
      <c r="J280" s="6" t="s">
        <v>4111</v>
      </c>
      <c r="K280" s="12" t="s">
        <v>4115</v>
      </c>
      <c r="M280" s="6" t="s">
        <v>5530</v>
      </c>
      <c r="N280" s="14">
        <v>49.939684</v>
      </c>
      <c r="O280" s="14">
        <v>17.905913000000002</v>
      </c>
      <c r="R280" s="6"/>
      <c r="S280" s="6"/>
      <c r="T280" s="6"/>
      <c r="U280" s="6"/>
      <c r="V280" s="6"/>
      <c r="W280" s="6"/>
    </row>
    <row r="281" spans="1:36">
      <c r="A281" s="6">
        <v>295</v>
      </c>
      <c r="B281" s="6" t="s">
        <v>5531</v>
      </c>
      <c r="C281" s="6"/>
      <c r="D281" s="6" t="s">
        <v>1018</v>
      </c>
      <c r="E281" s="12" t="s">
        <v>5532</v>
      </c>
      <c r="F281" s="6" t="s">
        <v>4111</v>
      </c>
      <c r="G281" s="6"/>
      <c r="H281" s="6" t="s">
        <v>5533</v>
      </c>
      <c r="I281" s="6" t="s">
        <v>5534</v>
      </c>
      <c r="J281" s="6" t="s">
        <v>4111</v>
      </c>
      <c r="K281" s="12" t="s">
        <v>4115</v>
      </c>
      <c r="L281" s="6"/>
      <c r="M281" s="6" t="s">
        <v>5535</v>
      </c>
      <c r="N281" s="14">
        <v>49.193094700000003</v>
      </c>
      <c r="O281" s="14">
        <v>16.6063142</v>
      </c>
      <c r="P281" s="6"/>
      <c r="Q281" s="6"/>
      <c r="R281" s="6"/>
      <c r="S281" s="6"/>
      <c r="T281" s="6"/>
      <c r="U281" s="6"/>
      <c r="V281" s="6"/>
      <c r="W281" s="6"/>
      <c r="Y281" s="6"/>
      <c r="Z281" s="6"/>
      <c r="AA281" s="6"/>
      <c r="AB281" s="6"/>
      <c r="AC281" s="6"/>
      <c r="AD281" s="6"/>
      <c r="AE281" s="6"/>
      <c r="AF281" s="6"/>
      <c r="AG281" s="6"/>
      <c r="AH281" s="6"/>
      <c r="AI281" s="6"/>
      <c r="AJ281" s="6"/>
    </row>
    <row r="282" spans="1:36">
      <c r="A282" s="6">
        <v>296</v>
      </c>
      <c r="B282" s="6" t="s">
        <v>5536</v>
      </c>
      <c r="C282" s="6"/>
      <c r="D282" s="6" t="s">
        <v>5537</v>
      </c>
      <c r="E282" s="12" t="s">
        <v>5538</v>
      </c>
      <c r="F282" s="6" t="s">
        <v>4111</v>
      </c>
      <c r="G282" s="6"/>
      <c r="H282" s="6" t="s">
        <v>5533</v>
      </c>
      <c r="I282" s="6" t="s">
        <v>5534</v>
      </c>
      <c r="J282" s="6" t="s">
        <v>4111</v>
      </c>
      <c r="K282" s="12" t="s">
        <v>4115</v>
      </c>
      <c r="M282" s="6" t="s">
        <v>5539</v>
      </c>
      <c r="N282" s="14">
        <v>49.2121894</v>
      </c>
      <c r="O282" s="14">
        <v>16.588182499999998</v>
      </c>
      <c r="R282" s="6"/>
      <c r="S282" s="6"/>
      <c r="T282" s="6"/>
      <c r="U282" s="6"/>
      <c r="V282" s="6"/>
      <c r="W282" s="6"/>
    </row>
    <row r="283" spans="1:36">
      <c r="A283" s="6">
        <v>297</v>
      </c>
      <c r="B283" s="6" t="s">
        <v>5541</v>
      </c>
      <c r="C283" s="6"/>
      <c r="D283" s="6" t="s">
        <v>5542</v>
      </c>
      <c r="E283" s="12" t="s">
        <v>5543</v>
      </c>
      <c r="F283" s="6" t="s">
        <v>4111</v>
      </c>
      <c r="G283" s="6" t="s">
        <v>5544</v>
      </c>
      <c r="H283" s="6" t="s">
        <v>5545</v>
      </c>
      <c r="I283" s="6" t="s">
        <v>5546</v>
      </c>
      <c r="J283" s="6" t="s">
        <v>4111</v>
      </c>
      <c r="K283" s="12" t="s">
        <v>4115</v>
      </c>
      <c r="L283" s="6"/>
      <c r="M283" s="6" t="s">
        <v>5547</v>
      </c>
      <c r="N283" s="14">
        <v>49.786186100000002</v>
      </c>
      <c r="O283" s="14">
        <v>18.132066699999999</v>
      </c>
      <c r="P283" s="6"/>
      <c r="Q283" s="6"/>
      <c r="R283" s="6"/>
      <c r="S283" s="6"/>
      <c r="T283" s="6"/>
      <c r="U283" s="6"/>
      <c r="V283" s="6"/>
      <c r="W283" s="6"/>
    </row>
    <row r="284" spans="1:36">
      <c r="A284" s="6">
        <v>298</v>
      </c>
      <c r="B284" s="10" t="s">
        <v>5548</v>
      </c>
      <c r="C284" s="6"/>
      <c r="D284" s="6" t="s">
        <v>2602</v>
      </c>
      <c r="E284" s="12" t="s">
        <v>5549</v>
      </c>
      <c r="F284" s="6" t="s">
        <v>4111</v>
      </c>
      <c r="G284" s="15" t="s">
        <v>5550</v>
      </c>
      <c r="H284" s="6" t="s">
        <v>5551</v>
      </c>
      <c r="I284" s="6" t="s">
        <v>5552</v>
      </c>
      <c r="J284" s="6"/>
      <c r="K284" s="12" t="s">
        <v>4115</v>
      </c>
      <c r="M284" s="6" t="s">
        <v>5553</v>
      </c>
      <c r="N284" s="14">
        <v>50.078074200000003</v>
      </c>
      <c r="O284" s="14">
        <v>14.4479331</v>
      </c>
      <c r="R284" s="6"/>
      <c r="S284" s="6"/>
      <c r="T284" s="6"/>
      <c r="U284" s="6"/>
      <c r="V284" s="6"/>
      <c r="W284" s="6"/>
    </row>
    <row r="285" spans="1:36">
      <c r="A285" s="6">
        <v>299</v>
      </c>
      <c r="B285" s="6" t="s">
        <v>5554</v>
      </c>
      <c r="C285" s="6" t="s">
        <v>1590</v>
      </c>
      <c r="D285" s="6" t="s">
        <v>1592</v>
      </c>
      <c r="E285" s="12" t="s">
        <v>5555</v>
      </c>
      <c r="F285" s="6" t="s">
        <v>4170</v>
      </c>
      <c r="G285" s="6" t="s">
        <v>5556</v>
      </c>
      <c r="H285" s="6"/>
      <c r="I285" s="6" t="s">
        <v>1594</v>
      </c>
      <c r="J285" s="6"/>
      <c r="K285" s="6" t="s">
        <v>1590</v>
      </c>
      <c r="L285" s="6"/>
      <c r="M285" s="6" t="s">
        <v>5557</v>
      </c>
      <c r="N285" s="28">
        <v>49.630247199999999</v>
      </c>
      <c r="O285" s="28">
        <v>17.342203099999999</v>
      </c>
      <c r="P285" s="6"/>
      <c r="Q285" s="6"/>
      <c r="R285" s="6"/>
      <c r="S285" s="6"/>
      <c r="T285" s="6"/>
      <c r="U285" s="6"/>
      <c r="V285" s="6"/>
      <c r="W285" s="6"/>
    </row>
    <row r="286" spans="1:36">
      <c r="A286" s="6">
        <v>300</v>
      </c>
      <c r="B286" s="6" t="s">
        <v>5558</v>
      </c>
      <c r="C286" s="6" t="s">
        <v>582</v>
      </c>
      <c r="D286" s="6" t="s">
        <v>584</v>
      </c>
      <c r="E286" s="12" t="s">
        <v>5559</v>
      </c>
      <c r="F286" s="6" t="s">
        <v>4150</v>
      </c>
      <c r="G286" s="6" t="s">
        <v>5560</v>
      </c>
      <c r="H286" s="6"/>
      <c r="I286" s="6" t="s">
        <v>5561</v>
      </c>
      <c r="J286" s="6"/>
      <c r="K286" s="6" t="s">
        <v>582</v>
      </c>
      <c r="L286" s="6"/>
      <c r="M286" s="6" t="s">
        <v>5562</v>
      </c>
      <c r="N286" s="6">
        <v>49.740598300000002</v>
      </c>
      <c r="O286" s="6">
        <v>13.3735956</v>
      </c>
      <c r="P286" s="6"/>
      <c r="Q286" s="6"/>
      <c r="R286" s="6"/>
      <c r="S286" s="6"/>
      <c r="T286" s="6"/>
      <c r="U286" s="6"/>
      <c r="V286" s="6"/>
      <c r="W286" s="6"/>
      <c r="Y286" s="6"/>
      <c r="Z286" s="6"/>
      <c r="AA286" s="6"/>
      <c r="AB286" s="6"/>
      <c r="AC286" s="6"/>
      <c r="AD286" s="6"/>
      <c r="AE286" s="6"/>
      <c r="AF286" s="6"/>
      <c r="AG286" s="6"/>
      <c r="AH286" s="6"/>
      <c r="AI286" s="6"/>
      <c r="AJ286" s="6"/>
    </row>
    <row r="287" spans="1:36">
      <c r="A287" s="6">
        <v>301</v>
      </c>
      <c r="B287" s="6" t="s">
        <v>5563</v>
      </c>
      <c r="C287" s="6" t="s">
        <v>5564</v>
      </c>
      <c r="D287" s="6" t="s">
        <v>59</v>
      </c>
      <c r="E287" s="12" t="s">
        <v>5565</v>
      </c>
      <c r="F287" s="6" t="s">
        <v>4150</v>
      </c>
      <c r="G287" s="6"/>
      <c r="H287" s="6" t="s">
        <v>5566</v>
      </c>
      <c r="I287" s="6" t="s">
        <v>5567</v>
      </c>
      <c r="J287" s="6" t="s">
        <v>5568</v>
      </c>
      <c r="K287" s="12" t="s">
        <v>5569</v>
      </c>
      <c r="L287" s="6"/>
      <c r="M287" s="6" t="s">
        <v>5570</v>
      </c>
      <c r="N287" s="28">
        <v>50.1039806</v>
      </c>
      <c r="O287" s="28">
        <v>14.5117422</v>
      </c>
      <c r="P287" s="6"/>
      <c r="Q287" s="6"/>
      <c r="R287" s="6"/>
      <c r="S287" s="6"/>
      <c r="T287" s="6"/>
      <c r="U287" s="6"/>
      <c r="V287" s="6"/>
      <c r="W287" s="6"/>
    </row>
    <row r="288" spans="1:36">
      <c r="A288" s="6">
        <v>302</v>
      </c>
      <c r="B288" s="6" t="s">
        <v>5571</v>
      </c>
      <c r="C288" s="6"/>
      <c r="D288" s="6" t="s">
        <v>1618</v>
      </c>
      <c r="E288" s="12" t="s">
        <v>5572</v>
      </c>
      <c r="F288" s="6" t="s">
        <v>4170</v>
      </c>
      <c r="G288" s="15" t="s">
        <v>5573</v>
      </c>
      <c r="H288" s="6" t="s">
        <v>5574</v>
      </c>
      <c r="I288" s="6" t="s">
        <v>5575</v>
      </c>
      <c r="J288" s="6"/>
      <c r="K288" s="6" t="s">
        <v>5576</v>
      </c>
      <c r="L288" s="6"/>
      <c r="M288" s="6" t="s">
        <v>5577</v>
      </c>
      <c r="N288" s="14">
        <v>49.905739400000002</v>
      </c>
      <c r="O288" s="14">
        <v>18.355391699999998</v>
      </c>
      <c r="P288" s="6"/>
      <c r="Q288" s="6"/>
      <c r="R288" s="6"/>
      <c r="S288" s="6"/>
      <c r="T288" s="6"/>
      <c r="U288" s="6"/>
      <c r="V288" s="6"/>
      <c r="W288" s="6"/>
    </row>
    <row r="289" spans="1:36">
      <c r="A289" s="6">
        <v>303</v>
      </c>
      <c r="B289" s="6" t="s">
        <v>724</v>
      </c>
      <c r="C289" s="6" t="s">
        <v>717</v>
      </c>
      <c r="D289" s="6" t="s">
        <v>208</v>
      </c>
      <c r="E289" s="12" t="s">
        <v>5578</v>
      </c>
      <c r="F289" s="6" t="s">
        <v>4170</v>
      </c>
      <c r="G289" s="6" t="s">
        <v>5579</v>
      </c>
      <c r="H289" s="6" t="s">
        <v>5580</v>
      </c>
      <c r="I289" s="6" t="s">
        <v>721</v>
      </c>
      <c r="J289" s="6" t="s">
        <v>4111</v>
      </c>
      <c r="K289" s="12" t="s">
        <v>5581</v>
      </c>
      <c r="L289" s="6"/>
      <c r="M289" s="6" t="s">
        <v>5582</v>
      </c>
      <c r="N289" s="6">
        <v>50.212249999999997</v>
      </c>
      <c r="O289" s="6">
        <v>15.832273300000001</v>
      </c>
      <c r="P289" s="6"/>
      <c r="Q289" s="6"/>
      <c r="R289" s="6"/>
      <c r="S289" s="6"/>
      <c r="T289" s="6"/>
      <c r="U289" s="6"/>
      <c r="V289" s="6"/>
      <c r="W289" s="6"/>
    </row>
    <row r="290" spans="1:36">
      <c r="A290" s="6">
        <v>304</v>
      </c>
      <c r="B290" s="6" t="s">
        <v>5583</v>
      </c>
      <c r="C290" s="6" t="s">
        <v>3524</v>
      </c>
      <c r="D290" s="6" t="s">
        <v>98</v>
      </c>
      <c r="E290" s="12" t="s">
        <v>5584</v>
      </c>
      <c r="F290" s="6" t="s">
        <v>4170</v>
      </c>
      <c r="G290" s="6"/>
      <c r="H290" s="6" t="s">
        <v>5585</v>
      </c>
      <c r="I290" s="6" t="s">
        <v>3528</v>
      </c>
      <c r="J290" s="6"/>
      <c r="K290" s="12" t="s">
        <v>3524</v>
      </c>
      <c r="L290" s="6"/>
      <c r="M290" s="6" t="s">
        <v>5586</v>
      </c>
      <c r="N290" s="6">
        <v>49.0727811</v>
      </c>
      <c r="O290" s="6">
        <v>17.455032500000002</v>
      </c>
      <c r="P290" s="6"/>
      <c r="Q290" s="6"/>
      <c r="R290" s="6"/>
      <c r="S290" s="6"/>
      <c r="T290" s="6"/>
      <c r="U290" s="6"/>
      <c r="V290" s="6"/>
      <c r="W290" s="6"/>
    </row>
    <row r="291" spans="1:36">
      <c r="A291" s="6">
        <v>305</v>
      </c>
      <c r="B291" s="6" t="s">
        <v>5587</v>
      </c>
      <c r="C291" s="6" t="s">
        <v>3137</v>
      </c>
      <c r="D291" s="6" t="s">
        <v>3139</v>
      </c>
      <c r="E291" s="9" t="s">
        <v>5589</v>
      </c>
      <c r="F291" s="6" t="s">
        <v>4170</v>
      </c>
      <c r="G291" s="6"/>
      <c r="H291" s="6"/>
      <c r="I291" s="6" t="s">
        <v>3141</v>
      </c>
      <c r="J291" s="6"/>
      <c r="K291" s="6" t="s">
        <v>3137</v>
      </c>
      <c r="L291" s="6"/>
      <c r="M291" s="6" t="s">
        <v>5590</v>
      </c>
      <c r="N291" s="28">
        <v>49.280765600000002</v>
      </c>
      <c r="O291" s="28">
        <v>17.171478100000002</v>
      </c>
      <c r="P291" s="6"/>
      <c r="Q291" s="6"/>
      <c r="R291" s="6"/>
      <c r="S291" s="6"/>
      <c r="T291" s="6"/>
      <c r="U291" s="6"/>
      <c r="V291" s="6"/>
      <c r="W291" s="6"/>
    </row>
    <row r="292" spans="1:36">
      <c r="A292" s="6">
        <v>306</v>
      </c>
      <c r="B292" s="10" t="s">
        <v>5591</v>
      </c>
      <c r="C292" s="6"/>
      <c r="D292" s="6" t="s">
        <v>3743</v>
      </c>
      <c r="E292" s="12" t="s">
        <v>5592</v>
      </c>
      <c r="F292" s="6" t="s">
        <v>4111</v>
      </c>
      <c r="G292" s="15" t="s">
        <v>5593</v>
      </c>
      <c r="H292" s="6" t="s">
        <v>5594</v>
      </c>
      <c r="I292" s="6" t="s">
        <v>5595</v>
      </c>
      <c r="J292" s="6" t="s">
        <v>4809</v>
      </c>
      <c r="K292" s="12" t="s">
        <v>4115</v>
      </c>
      <c r="L292" s="6"/>
      <c r="M292" s="6" t="s">
        <v>5596</v>
      </c>
      <c r="N292" s="14">
        <v>49.039752800000002</v>
      </c>
      <c r="O292" s="14">
        <v>16.321425000000001</v>
      </c>
      <c r="P292" s="6"/>
      <c r="Q292" s="6"/>
      <c r="R292" s="6"/>
      <c r="S292" s="6"/>
      <c r="T292" s="6"/>
      <c r="U292" s="6"/>
      <c r="V292" s="6"/>
      <c r="W292" s="6"/>
    </row>
    <row r="293" spans="1:36">
      <c r="A293" s="6">
        <v>307</v>
      </c>
      <c r="B293" s="6" t="s">
        <v>5597</v>
      </c>
      <c r="C293" s="6" t="s">
        <v>772</v>
      </c>
      <c r="D293" s="6" t="s">
        <v>894</v>
      </c>
      <c r="E293" s="12" t="s">
        <v>5598</v>
      </c>
      <c r="F293" s="6" t="s">
        <v>4150</v>
      </c>
      <c r="G293" s="6"/>
      <c r="H293" s="6"/>
      <c r="I293" s="6" t="s">
        <v>776</v>
      </c>
      <c r="J293" s="6"/>
      <c r="K293" s="6" t="s">
        <v>772</v>
      </c>
      <c r="L293" s="6"/>
      <c r="M293" s="6" t="s">
        <v>5599</v>
      </c>
      <c r="N293" s="6">
        <v>49.441634700000002</v>
      </c>
      <c r="O293" s="6">
        <v>12.929931099999999</v>
      </c>
      <c r="P293" s="6"/>
      <c r="Q293" s="6"/>
      <c r="R293" s="6"/>
      <c r="S293" s="6"/>
      <c r="T293" s="6"/>
      <c r="U293" s="6"/>
      <c r="V293" s="6"/>
      <c r="W293" s="6"/>
      <c r="Y293" s="6"/>
      <c r="Z293" s="6"/>
      <c r="AA293" s="6"/>
      <c r="AB293" s="6"/>
      <c r="AC293" s="6"/>
      <c r="AD293" s="6"/>
      <c r="AE293" s="6"/>
      <c r="AF293" s="6"/>
      <c r="AG293" s="6"/>
      <c r="AH293" s="6"/>
      <c r="AI293" s="6"/>
      <c r="AJ293" s="6"/>
    </row>
    <row r="294" spans="1:36">
      <c r="A294" s="6">
        <v>308</v>
      </c>
      <c r="B294" s="10" t="s">
        <v>5600</v>
      </c>
      <c r="C294" s="6"/>
      <c r="D294" s="6" t="s">
        <v>1034</v>
      </c>
      <c r="E294" s="12" t="s">
        <v>5601</v>
      </c>
      <c r="F294" s="6" t="s">
        <v>4111</v>
      </c>
      <c r="G294" s="6"/>
      <c r="H294" s="6" t="s">
        <v>5602</v>
      </c>
      <c r="I294" s="6" t="s">
        <v>5603</v>
      </c>
      <c r="J294" s="6" t="s">
        <v>4111</v>
      </c>
      <c r="K294" s="12" t="s">
        <v>4115</v>
      </c>
      <c r="L294" s="6"/>
      <c r="M294" s="6" t="s">
        <v>5604</v>
      </c>
      <c r="N294" s="14">
        <v>49.593277200000003</v>
      </c>
      <c r="O294" s="14">
        <v>17.243660800000001</v>
      </c>
      <c r="P294" s="6"/>
      <c r="Q294" s="6"/>
      <c r="R294" s="6"/>
      <c r="S294" s="6"/>
      <c r="T294" s="6"/>
      <c r="U294" s="6"/>
      <c r="V294" s="6"/>
      <c r="W294" s="6"/>
      <c r="Y294" s="6"/>
      <c r="Z294" s="6"/>
      <c r="AA294" s="6"/>
      <c r="AB294" s="6"/>
      <c r="AC294" s="6"/>
      <c r="AD294" s="6"/>
      <c r="AE294" s="6"/>
      <c r="AF294" s="6"/>
      <c r="AG294" s="6"/>
      <c r="AH294" s="6"/>
      <c r="AI294" s="6"/>
      <c r="AJ294" s="6"/>
    </row>
    <row r="295" spans="1:36">
      <c r="A295" s="6">
        <v>309</v>
      </c>
      <c r="B295" s="6" t="s">
        <v>5605</v>
      </c>
      <c r="C295" s="6" t="s">
        <v>5606</v>
      </c>
      <c r="D295" s="6" t="s">
        <v>976</v>
      </c>
      <c r="E295" s="12" t="s">
        <v>5607</v>
      </c>
      <c r="F295" s="6" t="s">
        <v>4150</v>
      </c>
      <c r="G295" s="6"/>
      <c r="H295" s="6" t="s">
        <v>5609</v>
      </c>
      <c r="I295" s="6" t="s">
        <v>5610</v>
      </c>
      <c r="J295" s="6" t="s">
        <v>5611</v>
      </c>
      <c r="K295" s="12" t="s">
        <v>5606</v>
      </c>
      <c r="L295" s="6"/>
      <c r="M295" s="6" t="s">
        <v>5612</v>
      </c>
      <c r="N295" s="28">
        <v>49.013064200000002</v>
      </c>
      <c r="O295" s="28">
        <v>13.997377800000001</v>
      </c>
      <c r="P295" s="6"/>
      <c r="Q295" s="6"/>
      <c r="R295" s="6"/>
      <c r="S295" s="6"/>
      <c r="T295" s="6"/>
      <c r="U295" s="6"/>
      <c r="V295" s="6"/>
      <c r="W295" s="6"/>
    </row>
    <row r="296" spans="1:36">
      <c r="A296" s="6">
        <v>310</v>
      </c>
      <c r="B296" s="10" t="s">
        <v>5613</v>
      </c>
      <c r="C296" s="6"/>
      <c r="D296" s="6" t="s">
        <v>5614</v>
      </c>
      <c r="E296" s="12" t="s">
        <v>5615</v>
      </c>
      <c r="F296" s="6" t="s">
        <v>4111</v>
      </c>
      <c r="G296" s="6" t="s">
        <v>5616</v>
      </c>
      <c r="H296" s="6"/>
      <c r="I296" s="6" t="s">
        <v>5618</v>
      </c>
      <c r="J296" s="6"/>
      <c r="K296" s="12" t="s">
        <v>4115</v>
      </c>
      <c r="M296" s="6" t="s">
        <v>5619</v>
      </c>
      <c r="N296" s="14">
        <v>49.438921399999998</v>
      </c>
      <c r="O296" s="14">
        <v>15.5742756</v>
      </c>
      <c r="R296" s="6"/>
      <c r="S296" s="6"/>
      <c r="T296" s="6"/>
      <c r="U296" s="6"/>
      <c r="V296" s="6"/>
      <c r="W296" s="6"/>
      <c r="Z296" s="9" t="s">
        <v>47</v>
      </c>
    </row>
    <row r="297" spans="1:36">
      <c r="A297" s="6">
        <v>311</v>
      </c>
      <c r="B297" s="6" t="s">
        <v>686</v>
      </c>
      <c r="C297" s="6" t="s">
        <v>677</v>
      </c>
      <c r="D297" s="6" t="s">
        <v>679</v>
      </c>
      <c r="E297" s="12" t="s">
        <v>5620</v>
      </c>
      <c r="F297" s="6" t="s">
        <v>4170</v>
      </c>
      <c r="G297" s="6" t="s">
        <v>5621</v>
      </c>
      <c r="H297" s="6" t="s">
        <v>5622</v>
      </c>
      <c r="I297" s="6" t="s">
        <v>683</v>
      </c>
      <c r="J297" s="6"/>
      <c r="K297" s="6" t="s">
        <v>677</v>
      </c>
      <c r="L297" s="6"/>
      <c r="M297" s="6" t="s">
        <v>5623</v>
      </c>
      <c r="N297" s="6">
        <v>48.969382500000002</v>
      </c>
      <c r="O297" s="6">
        <v>17.263717199999999</v>
      </c>
      <c r="P297" s="6"/>
      <c r="Q297" s="6"/>
      <c r="R297" s="6"/>
      <c r="S297" s="6"/>
      <c r="T297" s="6"/>
      <c r="U297" s="6"/>
      <c r="V297" s="6"/>
      <c r="W297" s="6"/>
      <c r="Y297" s="6"/>
      <c r="Z297" s="6"/>
      <c r="AA297" s="6"/>
      <c r="AB297" s="6"/>
      <c r="AC297" s="6"/>
      <c r="AD297" s="6"/>
      <c r="AE297" s="6"/>
      <c r="AF297" s="6"/>
      <c r="AG297" s="6"/>
      <c r="AH297" s="6"/>
      <c r="AI297" s="6"/>
      <c r="AJ297" s="6"/>
    </row>
    <row r="298" spans="1:36">
      <c r="A298" s="6">
        <v>312</v>
      </c>
      <c r="B298" s="6" t="s">
        <v>5624</v>
      </c>
      <c r="C298" s="6"/>
      <c r="D298" s="6" t="s">
        <v>316</v>
      </c>
      <c r="E298" s="12" t="s">
        <v>5625</v>
      </c>
      <c r="F298" s="6" t="s">
        <v>4111</v>
      </c>
      <c r="G298" s="6" t="s">
        <v>5626</v>
      </c>
      <c r="H298" s="6" t="s">
        <v>5627</v>
      </c>
      <c r="I298" s="6" t="s">
        <v>5628</v>
      </c>
      <c r="J298" s="6"/>
      <c r="K298" s="12" t="s">
        <v>4115</v>
      </c>
      <c r="M298" s="6" t="s">
        <v>5629</v>
      </c>
      <c r="N298" s="14">
        <v>49.290037499999997</v>
      </c>
      <c r="O298" s="14">
        <v>17.390594400000001</v>
      </c>
      <c r="R298" s="6"/>
      <c r="S298" s="6"/>
      <c r="T298" s="6"/>
      <c r="U298" s="6"/>
      <c r="V298" s="6"/>
      <c r="W298" s="6"/>
    </row>
    <row r="299" spans="1:36">
      <c r="A299" s="6">
        <v>313</v>
      </c>
      <c r="B299" s="6" t="s">
        <v>5630</v>
      </c>
      <c r="C299" s="6" t="s">
        <v>1800</v>
      </c>
      <c r="D299" s="6" t="s">
        <v>195</v>
      </c>
      <c r="E299" s="12" t="s">
        <v>5631</v>
      </c>
      <c r="F299" s="6" t="s">
        <v>4150</v>
      </c>
      <c r="G299" s="6"/>
      <c r="H299" s="6" t="s">
        <v>5632</v>
      </c>
      <c r="I299" s="6" t="s">
        <v>1804</v>
      </c>
      <c r="J299" s="6"/>
      <c r="K299" s="6" t="s">
        <v>1800</v>
      </c>
      <c r="L299" s="6"/>
      <c r="M299" s="6" t="s">
        <v>5633</v>
      </c>
      <c r="N299" s="28">
        <v>49.6893472</v>
      </c>
      <c r="O299" s="28">
        <v>14.013971700000001</v>
      </c>
      <c r="P299" s="6"/>
      <c r="Q299" s="6"/>
      <c r="R299" s="6"/>
      <c r="S299" s="6"/>
      <c r="T299" s="6"/>
      <c r="U299" s="6"/>
      <c r="V299" s="6"/>
      <c r="W299" s="6"/>
    </row>
    <row r="300" spans="1:36">
      <c r="A300" s="6">
        <v>314</v>
      </c>
      <c r="B300" s="6" t="s">
        <v>5634</v>
      </c>
      <c r="C300" s="6" t="s">
        <v>2591</v>
      </c>
      <c r="D300" s="6" t="s">
        <v>2593</v>
      </c>
      <c r="E300" s="12" t="s">
        <v>5635</v>
      </c>
      <c r="F300" s="6" t="s">
        <v>4170</v>
      </c>
      <c r="G300" s="6"/>
      <c r="H300" s="6"/>
      <c r="I300" s="6" t="s">
        <v>2595</v>
      </c>
      <c r="J300" s="6"/>
      <c r="K300" s="6" t="s">
        <v>2591</v>
      </c>
      <c r="L300" s="6"/>
      <c r="M300" s="6" t="s">
        <v>5636</v>
      </c>
      <c r="N300" s="28">
        <v>49.763316699999997</v>
      </c>
      <c r="O300" s="28">
        <v>18.205214399999999</v>
      </c>
      <c r="P300" s="6"/>
      <c r="Q300" s="6"/>
      <c r="R300" s="6"/>
      <c r="S300" s="6"/>
      <c r="T300" s="6"/>
      <c r="U300" s="6"/>
      <c r="V300" s="6"/>
      <c r="W300" s="6"/>
    </row>
    <row r="301" spans="1:36">
      <c r="A301" s="6">
        <v>315</v>
      </c>
      <c r="B301" s="6" t="s">
        <v>2715</v>
      </c>
      <c r="C301" s="12" t="s">
        <v>2709</v>
      </c>
      <c r="D301" s="6" t="s">
        <v>2711</v>
      </c>
      <c r="E301" s="12" t="s">
        <v>5637</v>
      </c>
      <c r="F301" s="6" t="s">
        <v>4170</v>
      </c>
      <c r="G301" s="6" t="s">
        <v>5638</v>
      </c>
      <c r="H301" s="6" t="s">
        <v>5639</v>
      </c>
      <c r="I301" s="6" t="s">
        <v>2714</v>
      </c>
      <c r="J301" s="6"/>
      <c r="K301" s="6" t="s">
        <v>2709</v>
      </c>
      <c r="L301" s="6"/>
      <c r="M301" s="6" t="s">
        <v>5640</v>
      </c>
      <c r="N301" s="28">
        <v>48.899896400000003</v>
      </c>
      <c r="O301" s="28">
        <v>16.064998599999999</v>
      </c>
      <c r="P301" s="6"/>
      <c r="Q301" s="6"/>
      <c r="R301" s="6"/>
      <c r="S301" s="6"/>
      <c r="T301" s="6"/>
      <c r="U301" s="6"/>
      <c r="V301" s="6"/>
      <c r="W301" s="6"/>
    </row>
    <row r="302" spans="1:36">
      <c r="A302" s="6">
        <v>316</v>
      </c>
      <c r="B302" s="6" t="s">
        <v>5641</v>
      </c>
      <c r="C302" s="12" t="s">
        <v>833</v>
      </c>
      <c r="D302" s="6" t="s">
        <v>835</v>
      </c>
      <c r="E302" s="12" t="s">
        <v>5642</v>
      </c>
      <c r="F302" s="6" t="s">
        <v>4170</v>
      </c>
      <c r="G302" s="6" t="s">
        <v>5643</v>
      </c>
      <c r="H302" s="6"/>
      <c r="I302" s="6" t="s">
        <v>837</v>
      </c>
      <c r="J302" s="6"/>
      <c r="K302" s="6" t="s">
        <v>833</v>
      </c>
      <c r="L302" s="6"/>
      <c r="M302" s="6" t="s">
        <v>5644</v>
      </c>
      <c r="N302" s="6">
        <v>49.308946400000004</v>
      </c>
      <c r="O302" s="6">
        <v>16.444630799999999</v>
      </c>
      <c r="P302" s="6"/>
      <c r="Q302" s="6"/>
      <c r="R302" s="6"/>
      <c r="S302" s="6"/>
      <c r="T302" s="6"/>
      <c r="U302" s="6"/>
      <c r="V302" s="6"/>
      <c r="W302" s="6"/>
    </row>
    <row r="303" spans="1:36">
      <c r="A303" s="6">
        <v>317</v>
      </c>
      <c r="B303" s="6" t="s">
        <v>5645</v>
      </c>
      <c r="C303" s="12" t="s">
        <v>1115</v>
      </c>
      <c r="D303" s="6" t="s">
        <v>1198</v>
      </c>
      <c r="E303" s="12" t="s">
        <v>5646</v>
      </c>
      <c r="F303" s="6" t="s">
        <v>4178</v>
      </c>
      <c r="G303" s="6" t="s">
        <v>5647</v>
      </c>
      <c r="H303" s="6" t="s">
        <v>5648</v>
      </c>
      <c r="I303" s="6" t="s">
        <v>1119</v>
      </c>
      <c r="J303" s="6"/>
      <c r="K303" s="6" t="s">
        <v>1115</v>
      </c>
      <c r="L303" s="6"/>
      <c r="M303" s="6" t="s">
        <v>5649</v>
      </c>
      <c r="N303" s="6">
        <v>50.038959200000001</v>
      </c>
      <c r="O303" s="6">
        <v>15.785450300000001</v>
      </c>
      <c r="P303" s="6"/>
      <c r="Q303" s="6"/>
      <c r="R303" s="6"/>
      <c r="S303" s="6"/>
      <c r="T303" s="6"/>
      <c r="U303" s="6"/>
      <c r="V303" s="6"/>
      <c r="W303" s="6"/>
      <c r="Z303" s="9" t="s">
        <v>47</v>
      </c>
    </row>
    <row r="304" spans="1:36">
      <c r="A304" s="6">
        <v>318</v>
      </c>
      <c r="B304" s="6" t="s">
        <v>5650</v>
      </c>
      <c r="C304" s="6" t="s">
        <v>5651</v>
      </c>
      <c r="D304" s="6" t="s">
        <v>123</v>
      </c>
      <c r="E304" s="12" t="s">
        <v>5652</v>
      </c>
      <c r="F304" s="6" t="s">
        <v>4150</v>
      </c>
      <c r="G304" s="6" t="s">
        <v>5653</v>
      </c>
      <c r="H304" s="6" t="s">
        <v>5654</v>
      </c>
      <c r="I304" s="6" t="s">
        <v>5655</v>
      </c>
      <c r="J304" s="6" t="s">
        <v>5656</v>
      </c>
      <c r="K304" s="12" t="s">
        <v>5657</v>
      </c>
      <c r="L304" s="6"/>
      <c r="M304" s="6" t="s">
        <v>5658</v>
      </c>
      <c r="N304" s="14">
        <v>49.782297200000002</v>
      </c>
      <c r="O304" s="14">
        <v>18.269557500000001</v>
      </c>
      <c r="P304" s="6"/>
      <c r="Q304" s="6"/>
      <c r="R304" s="6"/>
      <c r="S304" s="6"/>
      <c r="T304" s="6"/>
      <c r="U304" s="6"/>
      <c r="V304" s="6"/>
      <c r="W304" s="6"/>
    </row>
    <row r="305" spans="1:36">
      <c r="A305" s="6">
        <v>319</v>
      </c>
      <c r="B305" s="6" t="s">
        <v>5659</v>
      </c>
      <c r="C305" s="6" t="s">
        <v>339</v>
      </c>
      <c r="D305" s="6" t="s">
        <v>1018</v>
      </c>
      <c r="E305" s="12" t="s">
        <v>5660</v>
      </c>
      <c r="F305" s="6" t="s">
        <v>4170</v>
      </c>
      <c r="G305" s="6" t="s">
        <v>5661</v>
      </c>
      <c r="H305" s="6" t="s">
        <v>5662</v>
      </c>
      <c r="I305" s="6" t="s">
        <v>342</v>
      </c>
      <c r="J305" s="6"/>
      <c r="K305" s="6" t="s">
        <v>339</v>
      </c>
      <c r="L305" s="6"/>
      <c r="M305" s="6" t="s">
        <v>5663</v>
      </c>
      <c r="N305" s="28">
        <v>49.203213300000002</v>
      </c>
      <c r="O305" s="28">
        <v>16.599063099999999</v>
      </c>
      <c r="P305" s="6"/>
      <c r="Q305" s="6"/>
      <c r="R305" s="6"/>
      <c r="S305" s="6"/>
      <c r="T305" s="6"/>
      <c r="U305" s="6"/>
      <c r="V305" s="6"/>
      <c r="W305" s="6"/>
    </row>
    <row r="306" spans="1:36" ht="15.75">
      <c r="A306" s="6">
        <v>320</v>
      </c>
      <c r="B306" s="71" t="s">
        <v>5664</v>
      </c>
      <c r="C306" s="12" t="s">
        <v>1875</v>
      </c>
      <c r="D306" s="6" t="s">
        <v>3705</v>
      </c>
      <c r="E306" s="12" t="s">
        <v>5665</v>
      </c>
      <c r="F306" s="6" t="s">
        <v>4170</v>
      </c>
      <c r="G306" s="6"/>
      <c r="H306" s="6"/>
      <c r="I306" s="6" t="s">
        <v>1879</v>
      </c>
      <c r="J306" s="6"/>
      <c r="K306" s="6" t="s">
        <v>1875</v>
      </c>
      <c r="L306" s="6"/>
      <c r="M306" s="6" t="s">
        <v>5666</v>
      </c>
      <c r="N306" s="6">
        <v>48.797113600000003</v>
      </c>
      <c r="O306" s="6">
        <v>15.986124999999999</v>
      </c>
      <c r="P306" s="6"/>
      <c r="Q306" s="6"/>
      <c r="R306" s="6"/>
      <c r="S306" s="6"/>
      <c r="T306" s="6"/>
      <c r="U306" s="6"/>
      <c r="V306" s="6"/>
      <c r="W306" s="6"/>
      <c r="Y306" s="6"/>
      <c r="Z306" s="6"/>
      <c r="AA306" s="6"/>
      <c r="AB306" s="6"/>
      <c r="AC306" s="6"/>
      <c r="AD306" s="6"/>
      <c r="AE306" s="6"/>
      <c r="AF306" s="6"/>
      <c r="AG306" s="6"/>
      <c r="AH306" s="6"/>
      <c r="AI306" s="6"/>
      <c r="AJ306" s="6"/>
    </row>
    <row r="307" spans="1:36">
      <c r="A307" s="6">
        <v>321</v>
      </c>
      <c r="B307" s="6" t="s">
        <v>5667</v>
      </c>
      <c r="C307" s="6"/>
      <c r="D307" s="6" t="s">
        <v>208</v>
      </c>
      <c r="E307" s="12" t="s">
        <v>5668</v>
      </c>
      <c r="F307" s="6" t="s">
        <v>4111</v>
      </c>
      <c r="G307" s="6"/>
      <c r="H307" s="6" t="s">
        <v>5669</v>
      </c>
      <c r="I307" s="6" t="s">
        <v>5670</v>
      </c>
      <c r="J307" s="6" t="s">
        <v>5671</v>
      </c>
      <c r="K307" s="12" t="s">
        <v>5672</v>
      </c>
      <c r="L307" s="6"/>
      <c r="M307" s="6" t="s">
        <v>5673</v>
      </c>
      <c r="N307" s="14">
        <v>50.210200149999999</v>
      </c>
      <c r="O307" s="14">
        <v>15.83351968</v>
      </c>
      <c r="P307" s="6"/>
      <c r="Q307" s="6"/>
      <c r="R307" s="6"/>
      <c r="S307" s="6"/>
      <c r="T307" s="6"/>
      <c r="U307" s="6"/>
      <c r="V307" s="6"/>
      <c r="W307" s="6"/>
    </row>
    <row r="308" spans="1:36">
      <c r="A308" s="6">
        <v>322</v>
      </c>
      <c r="B308" s="10" t="s">
        <v>5674</v>
      </c>
      <c r="C308" s="6"/>
      <c r="D308" s="12" t="s">
        <v>1556</v>
      </c>
      <c r="E308" s="12" t="s">
        <v>5675</v>
      </c>
      <c r="F308" s="6" t="s">
        <v>4111</v>
      </c>
      <c r="G308" s="6"/>
      <c r="H308" s="6" t="s">
        <v>5676</v>
      </c>
      <c r="I308" s="6" t="s">
        <v>5677</v>
      </c>
      <c r="J308" s="6" t="s">
        <v>4111</v>
      </c>
      <c r="K308" s="12" t="s">
        <v>4115</v>
      </c>
      <c r="L308" s="6"/>
      <c r="M308" s="12" t="s">
        <v>5678</v>
      </c>
      <c r="N308" s="18">
        <v>50.061651400000002</v>
      </c>
      <c r="O308" s="18">
        <v>14.3981408</v>
      </c>
      <c r="P308" s="6"/>
      <c r="Q308" s="6"/>
      <c r="R308" s="6"/>
      <c r="S308" s="6"/>
      <c r="T308" s="6"/>
      <c r="U308" s="6"/>
      <c r="V308" s="6"/>
      <c r="W308" s="6"/>
    </row>
    <row r="309" spans="1:36">
      <c r="A309" s="6">
        <v>323</v>
      </c>
      <c r="B309" s="6" t="s">
        <v>5679</v>
      </c>
      <c r="C309" s="6" t="s">
        <v>1410</v>
      </c>
      <c r="D309" s="6" t="s">
        <v>1018</v>
      </c>
      <c r="E309" s="12" t="s">
        <v>5680</v>
      </c>
      <c r="F309" s="6" t="s">
        <v>4150</v>
      </c>
      <c r="G309" s="6" t="s">
        <v>5681</v>
      </c>
      <c r="H309" s="6" t="s">
        <v>5682</v>
      </c>
      <c r="I309" s="6" t="s">
        <v>1415</v>
      </c>
      <c r="J309" s="6"/>
      <c r="K309" s="6" t="s">
        <v>1410</v>
      </c>
      <c r="L309" s="6"/>
      <c r="M309" s="6" t="s">
        <v>5683</v>
      </c>
      <c r="N309" s="6">
        <v>49.196300000000001</v>
      </c>
      <c r="O309" s="6">
        <v>16.601800000000001</v>
      </c>
      <c r="P309" s="6"/>
      <c r="Q309" s="6"/>
      <c r="R309" s="6"/>
      <c r="S309" s="6"/>
      <c r="T309" s="6"/>
      <c r="U309" s="6"/>
      <c r="V309" s="6"/>
      <c r="W309" s="6"/>
    </row>
    <row r="310" spans="1:36">
      <c r="A310" s="6">
        <v>324</v>
      </c>
      <c r="B310" s="10" t="s">
        <v>5684</v>
      </c>
      <c r="C310" s="6"/>
      <c r="D310" s="6" t="s">
        <v>1785</v>
      </c>
      <c r="E310" s="12" t="s">
        <v>5685</v>
      </c>
      <c r="F310" s="6" t="s">
        <v>4111</v>
      </c>
      <c r="G310" s="6" t="s">
        <v>5686</v>
      </c>
      <c r="H310" s="6" t="s">
        <v>5687</v>
      </c>
      <c r="I310" s="6" t="s">
        <v>5688</v>
      </c>
      <c r="J310" s="6" t="s">
        <v>5689</v>
      </c>
      <c r="K310" s="12" t="s">
        <v>5690</v>
      </c>
      <c r="M310" s="6" t="s">
        <v>5691</v>
      </c>
      <c r="N310" s="14">
        <v>50.080489399999998</v>
      </c>
      <c r="O310" s="14">
        <v>14.449227799999999</v>
      </c>
      <c r="R310" s="6"/>
      <c r="S310" s="6"/>
      <c r="T310" s="6"/>
      <c r="U310" s="6"/>
      <c r="V310" s="6"/>
      <c r="W310" s="6"/>
    </row>
    <row r="311" spans="1:36">
      <c r="A311" s="6">
        <v>325</v>
      </c>
      <c r="B311" s="6" t="s">
        <v>5692</v>
      </c>
      <c r="C311" s="6" t="s">
        <v>1214</v>
      </c>
      <c r="D311" s="6" t="s">
        <v>1140</v>
      </c>
      <c r="E311" s="12" t="s">
        <v>5693</v>
      </c>
      <c r="F311" s="6" t="s">
        <v>4178</v>
      </c>
      <c r="G311" s="6" t="s">
        <v>5694</v>
      </c>
      <c r="H311" s="6" t="s">
        <v>5695</v>
      </c>
      <c r="I311" s="6" t="s">
        <v>1218</v>
      </c>
      <c r="J311" s="6"/>
      <c r="K311" s="6" t="s">
        <v>1214</v>
      </c>
      <c r="L311" s="6"/>
      <c r="M311" s="6" t="s">
        <v>5696</v>
      </c>
      <c r="N311" s="6">
        <v>49.747822800000002</v>
      </c>
      <c r="O311" s="6">
        <v>13.379401100000001</v>
      </c>
      <c r="P311" s="6"/>
      <c r="Q311" s="6"/>
      <c r="R311" s="6"/>
      <c r="S311" s="6"/>
      <c r="T311" s="6"/>
      <c r="U311" s="6"/>
      <c r="V311" s="6"/>
      <c r="W311" s="6"/>
    </row>
    <row r="312" spans="1:36">
      <c r="A312" s="6">
        <v>326</v>
      </c>
      <c r="B312" s="6" t="s">
        <v>5697</v>
      </c>
      <c r="D312" s="12" t="s">
        <v>5398</v>
      </c>
      <c r="E312" s="12" t="s">
        <v>5698</v>
      </c>
      <c r="F312" s="6" t="s">
        <v>4111</v>
      </c>
      <c r="G312" s="6" t="s">
        <v>5699</v>
      </c>
      <c r="H312" s="6" t="s">
        <v>2329</v>
      </c>
      <c r="I312" s="6" t="s">
        <v>5700</v>
      </c>
      <c r="J312" s="6" t="s">
        <v>118</v>
      </c>
      <c r="K312" s="12" t="s">
        <v>4115</v>
      </c>
      <c r="M312" s="6" t="s">
        <v>5701</v>
      </c>
      <c r="N312" s="25">
        <v>49.835979700000003</v>
      </c>
      <c r="O312" s="25">
        <v>18.25948</v>
      </c>
      <c r="R312" s="6"/>
      <c r="S312" s="6"/>
      <c r="T312" s="6"/>
      <c r="U312" s="6"/>
      <c r="V312" s="6"/>
      <c r="W312" s="6"/>
      <c r="Y312" s="6"/>
      <c r="Z312" s="6"/>
      <c r="AA312" s="6"/>
      <c r="AB312" s="6"/>
      <c r="AC312" s="6"/>
      <c r="AD312" s="6"/>
      <c r="AE312" s="6"/>
      <c r="AF312" s="6"/>
      <c r="AG312" s="6"/>
      <c r="AH312" s="6"/>
      <c r="AI312" s="6"/>
      <c r="AJ312" s="6"/>
    </row>
    <row r="313" spans="1:36">
      <c r="A313" s="6">
        <v>327</v>
      </c>
      <c r="B313" s="10" t="s">
        <v>5702</v>
      </c>
      <c r="C313" s="6"/>
      <c r="D313" s="6" t="s">
        <v>1785</v>
      </c>
      <c r="E313" s="12" t="s">
        <v>5703</v>
      </c>
      <c r="F313" s="6" t="s">
        <v>4111</v>
      </c>
      <c r="G313" s="6" t="s">
        <v>5704</v>
      </c>
      <c r="H313" s="6"/>
      <c r="I313" s="6" t="s">
        <v>5705</v>
      </c>
      <c r="J313" s="6" t="s">
        <v>4111</v>
      </c>
      <c r="K313" s="12" t="s">
        <v>4115</v>
      </c>
      <c r="M313" s="6" t="s">
        <v>5706</v>
      </c>
      <c r="N313" s="14">
        <v>50.087459199999998</v>
      </c>
      <c r="O313" s="14">
        <v>14.4535392</v>
      </c>
      <c r="R313" s="6"/>
      <c r="S313" s="6"/>
      <c r="T313" s="6"/>
      <c r="U313" s="6"/>
      <c r="V313" s="6"/>
      <c r="W313" s="6"/>
    </row>
    <row r="314" spans="1:36">
      <c r="A314" s="6">
        <v>328</v>
      </c>
      <c r="B314" s="6" t="s">
        <v>2306</v>
      </c>
      <c r="C314" s="6" t="s">
        <v>2306</v>
      </c>
      <c r="D314" s="6" t="s">
        <v>555</v>
      </c>
      <c r="E314" s="12" t="s">
        <v>5707</v>
      </c>
      <c r="F314" s="6" t="s">
        <v>4150</v>
      </c>
      <c r="G314" s="6" t="s">
        <v>5708</v>
      </c>
      <c r="H314" s="6" t="s">
        <v>5709</v>
      </c>
      <c r="I314" s="6" t="s">
        <v>2309</v>
      </c>
      <c r="J314" s="6" t="s">
        <v>4111</v>
      </c>
      <c r="K314" s="12" t="s">
        <v>5710</v>
      </c>
      <c r="L314" s="6"/>
      <c r="M314" s="6" t="s">
        <v>5711</v>
      </c>
      <c r="N314" s="6">
        <v>48.854715800000001</v>
      </c>
      <c r="O314" s="6">
        <v>16.0489128</v>
      </c>
      <c r="P314" s="6"/>
      <c r="Q314" s="6"/>
      <c r="R314" s="6"/>
      <c r="S314" s="6"/>
      <c r="T314" s="6"/>
      <c r="U314" s="6"/>
      <c r="V314" s="6"/>
      <c r="W314" s="6"/>
    </row>
    <row r="315" spans="1:36">
      <c r="A315" s="6">
        <v>329</v>
      </c>
      <c r="B315" s="6" t="s">
        <v>5712</v>
      </c>
      <c r="C315" s="12" t="s">
        <v>1987</v>
      </c>
      <c r="D315" s="6" t="s">
        <v>2272</v>
      </c>
      <c r="E315" s="12" t="s">
        <v>5713</v>
      </c>
      <c r="F315" s="6" t="s">
        <v>4170</v>
      </c>
      <c r="G315" s="6" t="s">
        <v>5714</v>
      </c>
      <c r="H315" s="6"/>
      <c r="I315" s="6" t="s">
        <v>1991</v>
      </c>
      <c r="J315" s="6"/>
      <c r="K315" s="6" t="s">
        <v>1987</v>
      </c>
      <c r="L315" s="6"/>
      <c r="M315" s="6" t="s">
        <v>5715</v>
      </c>
      <c r="N315" s="6">
        <v>49.087634399999999</v>
      </c>
      <c r="O315" s="6">
        <v>17.878713900000001</v>
      </c>
      <c r="P315" s="6"/>
      <c r="Q315" s="6"/>
      <c r="R315" s="6"/>
      <c r="S315" s="6"/>
      <c r="T315" s="6"/>
      <c r="U315" s="6"/>
      <c r="V315" s="6"/>
      <c r="W315" s="6"/>
    </row>
    <row r="316" spans="1:36">
      <c r="A316" s="6">
        <v>330</v>
      </c>
      <c r="B316" s="6" t="s">
        <v>5716</v>
      </c>
      <c r="C316" s="6"/>
      <c r="D316" s="6" t="s">
        <v>1018</v>
      </c>
      <c r="E316" s="12" t="s">
        <v>5717</v>
      </c>
      <c r="F316" s="6" t="s">
        <v>4111</v>
      </c>
      <c r="G316" s="6"/>
      <c r="H316" s="6" t="s">
        <v>5718</v>
      </c>
      <c r="I316" s="6" t="s">
        <v>5719</v>
      </c>
      <c r="J316" s="6" t="s">
        <v>4111</v>
      </c>
      <c r="K316" s="12" t="s">
        <v>4115</v>
      </c>
      <c r="L316" s="6"/>
      <c r="M316" s="6" t="s">
        <v>5720</v>
      </c>
      <c r="N316" s="14">
        <v>49.199884699999998</v>
      </c>
      <c r="O316" s="14">
        <v>16.606460800000001</v>
      </c>
      <c r="P316" s="6"/>
      <c r="Q316" s="6"/>
      <c r="R316" s="6"/>
      <c r="S316" s="6"/>
      <c r="T316" s="6"/>
      <c r="U316" s="6"/>
      <c r="V316" s="6"/>
      <c r="W316" s="6"/>
    </row>
    <row r="317" spans="1:36">
      <c r="A317" s="6">
        <v>331</v>
      </c>
      <c r="B317" s="6" t="s">
        <v>5721</v>
      </c>
      <c r="C317" s="6"/>
      <c r="D317" s="6" t="s">
        <v>1018</v>
      </c>
      <c r="E317" s="12" t="s">
        <v>5722</v>
      </c>
      <c r="F317" s="6" t="s">
        <v>4111</v>
      </c>
      <c r="G317" s="6" t="s">
        <v>5723</v>
      </c>
      <c r="H317" s="6" t="s">
        <v>5724</v>
      </c>
      <c r="I317" s="6" t="s">
        <v>5725</v>
      </c>
      <c r="J317" s="6"/>
      <c r="K317" s="6" t="s">
        <v>5726</v>
      </c>
      <c r="L317" s="6"/>
      <c r="M317" s="6" t="s">
        <v>5727</v>
      </c>
      <c r="N317" s="14">
        <v>49.181566400000001</v>
      </c>
      <c r="O317" s="14">
        <v>16.599021400000002</v>
      </c>
      <c r="P317" s="6"/>
      <c r="Q317" s="6"/>
      <c r="R317" s="6"/>
      <c r="S317" s="6"/>
      <c r="T317" s="6"/>
      <c r="U317" s="6"/>
      <c r="V317" s="6"/>
      <c r="W317" s="6"/>
    </row>
    <row r="318" spans="1:36">
      <c r="A318" s="6">
        <v>332</v>
      </c>
      <c r="B318" s="6" t="s">
        <v>5728</v>
      </c>
      <c r="C318" s="6" t="s">
        <v>3161</v>
      </c>
      <c r="D318" s="6" t="s">
        <v>3161</v>
      </c>
      <c r="E318" s="12" t="s">
        <v>5729</v>
      </c>
      <c r="F318" s="6" t="s">
        <v>4150</v>
      </c>
      <c r="G318" s="6" t="s">
        <v>5730</v>
      </c>
      <c r="H318" s="6"/>
      <c r="I318" s="6" t="s">
        <v>3165</v>
      </c>
      <c r="J318" s="6"/>
      <c r="K318" s="6" t="s">
        <v>3161</v>
      </c>
      <c r="L318" s="6"/>
      <c r="M318" s="6" t="s">
        <v>5731</v>
      </c>
      <c r="N318" s="28">
        <v>48.937663299999997</v>
      </c>
      <c r="O318" s="28">
        <v>15.7294394</v>
      </c>
      <c r="P318" s="6"/>
      <c r="Q318" s="6"/>
      <c r="R318" s="6"/>
      <c r="S318" s="6"/>
      <c r="T318" s="6"/>
      <c r="U318" s="6"/>
      <c r="V318" s="6"/>
      <c r="W318" s="6"/>
    </row>
    <row r="319" spans="1:36">
      <c r="A319" s="6">
        <v>333</v>
      </c>
      <c r="B319" s="6" t="s">
        <v>5732</v>
      </c>
      <c r="C319" s="6" t="s">
        <v>5733</v>
      </c>
      <c r="D319" s="6" t="s">
        <v>1198</v>
      </c>
      <c r="E319" s="12" t="s">
        <v>5734</v>
      </c>
      <c r="F319" s="12" t="s">
        <v>4111</v>
      </c>
      <c r="G319" s="6" t="s">
        <v>5735</v>
      </c>
      <c r="H319" s="6" t="s">
        <v>5736</v>
      </c>
      <c r="I319" s="6" t="s">
        <v>5737</v>
      </c>
      <c r="J319" s="6" t="s">
        <v>5738</v>
      </c>
      <c r="K319" s="12" t="s">
        <v>5739</v>
      </c>
      <c r="L319" s="6"/>
      <c r="M319" s="6" t="s">
        <v>5740</v>
      </c>
      <c r="N319" s="14">
        <v>50.040744400000001</v>
      </c>
      <c r="O319" s="14">
        <v>15.780799399999999</v>
      </c>
      <c r="P319" s="6"/>
      <c r="Q319" s="6"/>
      <c r="R319" s="6"/>
      <c r="S319" s="6"/>
      <c r="T319" s="6"/>
      <c r="U319" s="6"/>
      <c r="V319" s="6"/>
      <c r="W319" s="6"/>
      <c r="Y319" s="6"/>
      <c r="Z319" s="6"/>
      <c r="AA319" s="6"/>
      <c r="AB319" s="6"/>
      <c r="AC319" s="6"/>
      <c r="AD319" s="6"/>
      <c r="AE319" s="6"/>
      <c r="AF319" s="6"/>
      <c r="AG319" s="6"/>
      <c r="AH319" s="6"/>
      <c r="AI319" s="6"/>
      <c r="AJ319" s="6"/>
    </row>
    <row r="320" spans="1:36">
      <c r="A320" s="6">
        <v>334</v>
      </c>
      <c r="B320" s="6" t="s">
        <v>5741</v>
      </c>
      <c r="C320" s="6" t="s">
        <v>1843</v>
      </c>
      <c r="D320" s="6" t="s">
        <v>1018</v>
      </c>
      <c r="E320" s="12" t="s">
        <v>5742</v>
      </c>
      <c r="F320" s="6" t="s">
        <v>4150</v>
      </c>
      <c r="G320" s="6" t="s">
        <v>5743</v>
      </c>
      <c r="H320" s="6" t="s">
        <v>5744</v>
      </c>
      <c r="I320" s="6" t="s">
        <v>1846</v>
      </c>
      <c r="J320" s="6"/>
      <c r="K320" s="6" t="s">
        <v>1843</v>
      </c>
      <c r="L320" s="6"/>
      <c r="M320" s="6" t="s">
        <v>5745</v>
      </c>
      <c r="N320" s="6">
        <v>49.195801699999997</v>
      </c>
      <c r="O320" s="6">
        <v>16.6107008</v>
      </c>
      <c r="P320" s="6"/>
      <c r="Q320" s="6"/>
      <c r="R320" s="6"/>
      <c r="S320" s="6"/>
      <c r="T320" s="6"/>
      <c r="U320" s="6"/>
      <c r="V320" s="6"/>
      <c r="W320" s="6"/>
    </row>
    <row r="321" spans="1:36">
      <c r="A321" s="6">
        <v>335</v>
      </c>
      <c r="B321" s="6" t="s">
        <v>5741</v>
      </c>
      <c r="C321" s="6" t="s">
        <v>1843</v>
      </c>
      <c r="D321" s="6" t="s">
        <v>1018</v>
      </c>
      <c r="E321" s="12" t="s">
        <v>5746</v>
      </c>
      <c r="F321" s="6" t="s">
        <v>4150</v>
      </c>
      <c r="G321" s="6" t="s">
        <v>5743</v>
      </c>
      <c r="H321" s="6" t="s">
        <v>5744</v>
      </c>
      <c r="I321" s="6" t="s">
        <v>1846</v>
      </c>
      <c r="J321" s="6"/>
      <c r="K321" s="6" t="s">
        <v>1843</v>
      </c>
      <c r="L321" s="6"/>
      <c r="M321" s="6" t="s">
        <v>5747</v>
      </c>
      <c r="N321" s="6">
        <v>49.192292199999997</v>
      </c>
      <c r="O321" s="6">
        <v>16.607138299999999</v>
      </c>
      <c r="P321" s="6"/>
      <c r="Q321" s="6"/>
      <c r="R321" s="6"/>
      <c r="S321" s="6"/>
      <c r="T321" s="6"/>
      <c r="U321" s="6"/>
      <c r="V321" s="6"/>
      <c r="W321" s="6"/>
      <c r="X321" s="6"/>
    </row>
    <row r="322" spans="1:36">
      <c r="A322" s="6">
        <v>336</v>
      </c>
      <c r="B322" s="6" t="s">
        <v>5748</v>
      </c>
      <c r="C322" s="6"/>
      <c r="D322" s="6" t="s">
        <v>1838</v>
      </c>
      <c r="E322" s="12" t="s">
        <v>5749</v>
      </c>
      <c r="F322" s="6" t="s">
        <v>4111</v>
      </c>
      <c r="G322" s="6" t="s">
        <v>5750</v>
      </c>
      <c r="H322" s="6" t="s">
        <v>5751</v>
      </c>
      <c r="I322" s="6" t="s">
        <v>5752</v>
      </c>
      <c r="J322" s="6" t="s">
        <v>4111</v>
      </c>
      <c r="K322" s="12" t="s">
        <v>4115</v>
      </c>
      <c r="M322" s="12" t="s">
        <v>5753</v>
      </c>
      <c r="N322" s="72">
        <v>50.028518300000002</v>
      </c>
      <c r="O322" s="72">
        <v>15.201885600000001</v>
      </c>
      <c r="R322" s="6"/>
      <c r="S322" s="6"/>
      <c r="T322" s="6"/>
      <c r="U322" s="6"/>
      <c r="V322" s="6"/>
      <c r="W322" s="6"/>
      <c r="Y322" s="6"/>
      <c r="Z322" s="6"/>
      <c r="AA322" s="6"/>
      <c r="AB322" s="6"/>
      <c r="AC322" s="6"/>
      <c r="AD322" s="6"/>
      <c r="AE322" s="6"/>
      <c r="AF322" s="6"/>
      <c r="AG322" s="6"/>
      <c r="AH322" s="6"/>
      <c r="AI322" s="6"/>
      <c r="AJ322" s="6"/>
    </row>
    <row r="323" spans="1:36">
      <c r="A323" s="6">
        <v>337</v>
      </c>
      <c r="B323" s="6" t="s">
        <v>5754</v>
      </c>
      <c r="C323" s="6" t="s">
        <v>1760</v>
      </c>
      <c r="D323" s="6" t="s">
        <v>1018</v>
      </c>
      <c r="E323" s="12" t="s">
        <v>5755</v>
      </c>
      <c r="F323" s="6" t="s">
        <v>4170</v>
      </c>
      <c r="G323" s="6" t="s">
        <v>5756</v>
      </c>
      <c r="H323" s="6" t="s">
        <v>5757</v>
      </c>
      <c r="I323" s="6" t="s">
        <v>1763</v>
      </c>
      <c r="J323" s="6"/>
      <c r="K323" s="6" t="s">
        <v>1760</v>
      </c>
      <c r="L323" s="6"/>
      <c r="M323" s="6" t="s">
        <v>5758</v>
      </c>
      <c r="N323" s="6">
        <v>49.210174199999997</v>
      </c>
      <c r="O323" s="6">
        <v>16.6022742</v>
      </c>
      <c r="P323" s="6"/>
      <c r="Q323" s="6"/>
      <c r="R323" s="6"/>
      <c r="S323" s="6"/>
      <c r="T323" s="6"/>
      <c r="U323" s="6"/>
      <c r="V323" s="6"/>
      <c r="W323" s="6"/>
      <c r="Y323" s="6"/>
      <c r="Z323" s="6"/>
      <c r="AA323" s="6"/>
      <c r="AB323" s="6"/>
      <c r="AC323" s="6"/>
      <c r="AD323" s="6"/>
      <c r="AE323" s="6"/>
      <c r="AF323" s="6"/>
      <c r="AG323" s="6"/>
      <c r="AH323" s="6"/>
      <c r="AI323" s="6"/>
      <c r="AJ323" s="6"/>
    </row>
    <row r="324" spans="1:36">
      <c r="A324" s="6">
        <v>338</v>
      </c>
      <c r="B324" s="6" t="s">
        <v>5759</v>
      </c>
      <c r="C324" s="6"/>
      <c r="D324" s="6" t="s">
        <v>2602</v>
      </c>
      <c r="E324" s="12" t="s">
        <v>5760</v>
      </c>
      <c r="F324" s="6" t="s">
        <v>4111</v>
      </c>
      <c r="G324" s="6" t="s">
        <v>5761</v>
      </c>
      <c r="H324" s="6" t="s">
        <v>5762</v>
      </c>
      <c r="I324" s="6" t="s">
        <v>5763</v>
      </c>
      <c r="J324" s="6" t="s">
        <v>4111</v>
      </c>
      <c r="K324" s="12" t="s">
        <v>4115</v>
      </c>
      <c r="M324" s="6" t="s">
        <v>5764</v>
      </c>
      <c r="N324" s="14">
        <v>50.079806099999999</v>
      </c>
      <c r="O324" s="14">
        <v>14.4544367</v>
      </c>
      <c r="R324" s="6"/>
      <c r="S324" s="6"/>
      <c r="T324" s="6"/>
      <c r="U324" s="6"/>
      <c r="V324" s="6"/>
      <c r="W324" s="6"/>
    </row>
    <row r="325" spans="1:36">
      <c r="A325" s="6">
        <v>339</v>
      </c>
      <c r="B325" s="10" t="s">
        <v>5765</v>
      </c>
      <c r="C325" s="6"/>
      <c r="D325" s="6" t="s">
        <v>68</v>
      </c>
      <c r="E325" s="12" t="s">
        <v>5766</v>
      </c>
      <c r="F325" s="6" t="s">
        <v>4111</v>
      </c>
      <c r="G325" s="6" t="s">
        <v>5767</v>
      </c>
      <c r="H325" s="6" t="s">
        <v>5768</v>
      </c>
      <c r="I325" s="6" t="s">
        <v>5769</v>
      </c>
      <c r="J325" s="6"/>
      <c r="K325" s="12" t="s">
        <v>4115</v>
      </c>
      <c r="M325" s="6" t="s">
        <v>5770</v>
      </c>
      <c r="N325" s="14">
        <v>50.775733099999997</v>
      </c>
      <c r="O325" s="14">
        <v>15.0744481</v>
      </c>
      <c r="R325" s="6"/>
      <c r="S325" s="6"/>
      <c r="T325" s="6"/>
      <c r="U325" s="6"/>
      <c r="V325" s="6"/>
      <c r="W325" s="6"/>
      <c r="Y325" s="6"/>
      <c r="Z325" s="12" t="s">
        <v>47</v>
      </c>
      <c r="AA325" s="6"/>
      <c r="AB325" s="6"/>
      <c r="AC325" s="6"/>
      <c r="AD325" s="6"/>
      <c r="AE325" s="6"/>
      <c r="AF325" s="6"/>
      <c r="AG325" s="6"/>
      <c r="AH325" s="6"/>
      <c r="AI325" s="6"/>
      <c r="AJ325" s="6"/>
    </row>
    <row r="326" spans="1:36">
      <c r="A326" s="6">
        <v>340</v>
      </c>
      <c r="B326" s="6" t="s">
        <v>5771</v>
      </c>
      <c r="C326" s="6" t="s">
        <v>3097</v>
      </c>
      <c r="D326" s="6" t="s">
        <v>208</v>
      </c>
      <c r="E326" s="12" t="s">
        <v>5772</v>
      </c>
      <c r="F326" s="6" t="s">
        <v>4170</v>
      </c>
      <c r="G326" s="6" t="s">
        <v>5773</v>
      </c>
      <c r="H326" s="6" t="s">
        <v>5774</v>
      </c>
      <c r="I326" s="6" t="s">
        <v>3102</v>
      </c>
      <c r="J326" s="6" t="s">
        <v>5775</v>
      </c>
      <c r="K326" s="6" t="s">
        <v>3097</v>
      </c>
      <c r="L326" s="6"/>
      <c r="M326" s="6" t="s">
        <v>5776</v>
      </c>
      <c r="N326" s="28">
        <v>50.211941099999997</v>
      </c>
      <c r="O326" s="28">
        <v>15.826258599999999</v>
      </c>
      <c r="P326" s="6"/>
      <c r="Q326" s="6"/>
      <c r="R326" s="6"/>
      <c r="S326" s="6"/>
      <c r="T326" s="6"/>
      <c r="U326" s="6"/>
      <c r="V326" s="6"/>
      <c r="W326" s="6"/>
    </row>
    <row r="327" spans="1:36">
      <c r="A327" s="6">
        <v>341</v>
      </c>
      <c r="B327" s="6" t="s">
        <v>5777</v>
      </c>
      <c r="C327" s="6" t="s">
        <v>388</v>
      </c>
      <c r="D327" s="6" t="s">
        <v>1018</v>
      </c>
      <c r="E327" s="12" t="s">
        <v>5778</v>
      </c>
      <c r="F327" s="6" t="s">
        <v>4170</v>
      </c>
      <c r="G327" s="6" t="s">
        <v>5779</v>
      </c>
      <c r="H327" s="6" t="s">
        <v>5780</v>
      </c>
      <c r="I327" s="6" t="s">
        <v>392</v>
      </c>
      <c r="J327" s="6"/>
      <c r="K327" s="6" t="s">
        <v>388</v>
      </c>
      <c r="L327" s="6"/>
      <c r="M327" s="6" t="s">
        <v>5781</v>
      </c>
      <c r="N327" s="28">
        <v>49.198920600000001</v>
      </c>
      <c r="O327" s="28">
        <v>16.593353100000002</v>
      </c>
      <c r="P327" s="6"/>
      <c r="Q327" s="6"/>
      <c r="R327" s="6"/>
      <c r="S327" s="6"/>
      <c r="T327" s="6"/>
      <c r="U327" s="6"/>
      <c r="V327" s="6"/>
      <c r="W327" s="6"/>
    </row>
    <row r="328" spans="1:36">
      <c r="A328" s="6">
        <v>342</v>
      </c>
      <c r="B328" s="6" t="s">
        <v>5782</v>
      </c>
      <c r="C328" s="6" t="s">
        <v>544</v>
      </c>
      <c r="D328" s="6" t="s">
        <v>546</v>
      </c>
      <c r="E328" s="12" t="s">
        <v>547</v>
      </c>
      <c r="F328" s="12" t="s">
        <v>4178</v>
      </c>
      <c r="G328" s="6" t="s">
        <v>5783</v>
      </c>
      <c r="H328" s="6"/>
      <c r="I328" s="6" t="s">
        <v>549</v>
      </c>
      <c r="J328" s="6"/>
      <c r="K328" s="6" t="s">
        <v>544</v>
      </c>
      <c r="L328" s="6"/>
      <c r="M328" s="6" t="s">
        <v>5784</v>
      </c>
      <c r="N328" s="28">
        <v>49.8931994</v>
      </c>
      <c r="O328" s="28">
        <v>12.727309399999999</v>
      </c>
      <c r="P328" s="6"/>
      <c r="Q328" s="6"/>
      <c r="R328" s="6"/>
      <c r="S328" s="6"/>
      <c r="T328" s="6"/>
      <c r="U328" s="6"/>
      <c r="V328" s="6"/>
      <c r="W328" s="6"/>
    </row>
    <row r="329" spans="1:36">
      <c r="A329" s="6">
        <v>343</v>
      </c>
      <c r="B329" s="6" t="s">
        <v>5785</v>
      </c>
      <c r="C329" s="6" t="s">
        <v>4424</v>
      </c>
      <c r="D329" s="6" t="s">
        <v>1769</v>
      </c>
      <c r="E329" s="12" t="s">
        <v>1771</v>
      </c>
      <c r="F329" s="12" t="s">
        <v>4178</v>
      </c>
      <c r="G329" s="6" t="s">
        <v>5786</v>
      </c>
      <c r="H329" s="6" t="s">
        <v>5787</v>
      </c>
      <c r="I329" s="6" t="s">
        <v>1772</v>
      </c>
      <c r="J329" s="6"/>
      <c r="K329" s="6" t="s">
        <v>4424</v>
      </c>
      <c r="L329" s="6"/>
      <c r="M329" s="6" t="s">
        <v>5788</v>
      </c>
      <c r="N329" s="6">
        <v>49.922524000000003</v>
      </c>
      <c r="O329" s="6">
        <v>14.636068</v>
      </c>
      <c r="P329" s="6"/>
      <c r="Q329" s="6"/>
      <c r="R329" s="6"/>
      <c r="S329" s="6"/>
      <c r="T329" s="6"/>
      <c r="U329" s="6"/>
      <c r="V329" s="6"/>
      <c r="W329" s="6"/>
      <c r="Z329" s="9" t="s">
        <v>47</v>
      </c>
    </row>
    <row r="330" spans="1:36">
      <c r="A330" s="6">
        <v>344</v>
      </c>
      <c r="B330" s="6" t="s">
        <v>5789</v>
      </c>
      <c r="C330" s="6" t="s">
        <v>4424</v>
      </c>
      <c r="D330" s="6" t="s">
        <v>4382</v>
      </c>
      <c r="E330" s="12" t="s">
        <v>5790</v>
      </c>
      <c r="F330" s="6" t="s">
        <v>4178</v>
      </c>
      <c r="G330" s="6" t="s">
        <v>5791</v>
      </c>
      <c r="H330" s="6" t="s">
        <v>5792</v>
      </c>
      <c r="I330" s="6" t="s">
        <v>1772</v>
      </c>
      <c r="J330" s="6"/>
      <c r="K330" s="6" t="s">
        <v>4424</v>
      </c>
      <c r="M330" s="6" t="s">
        <v>5793</v>
      </c>
      <c r="N330" s="6">
        <v>50.069908300000002</v>
      </c>
      <c r="O330" s="6">
        <v>14.4737192</v>
      </c>
      <c r="R330" s="6"/>
      <c r="S330" s="6"/>
      <c r="T330" s="6"/>
      <c r="U330" s="6"/>
      <c r="V330" s="6"/>
      <c r="W330" s="6"/>
    </row>
    <row r="331" spans="1:36">
      <c r="A331" s="6">
        <v>345</v>
      </c>
      <c r="B331" s="10" t="s">
        <v>5794</v>
      </c>
      <c r="C331" s="6"/>
      <c r="D331" s="6" t="s">
        <v>2602</v>
      </c>
      <c r="E331" s="12" t="s">
        <v>5795</v>
      </c>
      <c r="F331" s="6" t="s">
        <v>4111</v>
      </c>
      <c r="G331" t="s">
        <v>5796</v>
      </c>
      <c r="H331" s="15" t="s">
        <v>5797</v>
      </c>
      <c r="I331" s="6" t="s">
        <v>5798</v>
      </c>
      <c r="J331" t="s">
        <v>4111</v>
      </c>
      <c r="K331" s="12" t="s">
        <v>4115</v>
      </c>
      <c r="M331" s="6" t="s">
        <v>5799</v>
      </c>
      <c r="N331" s="14">
        <v>50.076073600000001</v>
      </c>
      <c r="O331" s="14">
        <v>14.434207199999999</v>
      </c>
      <c r="R331" s="6"/>
      <c r="S331" s="6"/>
      <c r="T331" s="6"/>
      <c r="U331" s="6"/>
      <c r="V331" s="6"/>
      <c r="W331" s="6"/>
    </row>
    <row r="332" spans="1:36">
      <c r="A332" s="6">
        <v>346</v>
      </c>
      <c r="B332" s="10" t="s">
        <v>5800</v>
      </c>
      <c r="C332" s="6"/>
      <c r="D332" s="6" t="s">
        <v>1018</v>
      </c>
      <c r="E332" s="12" t="s">
        <v>5801</v>
      </c>
      <c r="F332" s="6" t="s">
        <v>4111</v>
      </c>
      <c r="G332" t="s">
        <v>5796</v>
      </c>
      <c r="H332" s="6" t="s">
        <v>5802</v>
      </c>
      <c r="I332" s="6" t="s">
        <v>5798</v>
      </c>
      <c r="J332" t="s">
        <v>4111</v>
      </c>
      <c r="K332" s="12" t="s">
        <v>4115</v>
      </c>
      <c r="M332" s="6" t="s">
        <v>5803</v>
      </c>
      <c r="N332" s="14">
        <v>49.196797199999999</v>
      </c>
      <c r="O332" s="14">
        <v>16.6092589</v>
      </c>
      <c r="R332" s="6"/>
      <c r="S332" s="6"/>
      <c r="T332" s="6"/>
      <c r="U332" s="6"/>
      <c r="V332" s="6"/>
      <c r="W332" s="6"/>
      <c r="Y332" s="6"/>
      <c r="Z332" s="6"/>
      <c r="AA332" s="6"/>
      <c r="AB332" s="6"/>
      <c r="AC332" s="6"/>
      <c r="AD332" s="6"/>
      <c r="AE332" s="6"/>
      <c r="AF332" s="6"/>
      <c r="AG332" s="6"/>
      <c r="AH332" s="6"/>
      <c r="AI332" s="6"/>
      <c r="AJ332" s="6"/>
    </row>
    <row r="333" spans="1:36">
      <c r="A333" s="6">
        <v>347</v>
      </c>
      <c r="B333" s="10" t="s">
        <v>5804</v>
      </c>
      <c r="C333" s="6"/>
      <c r="D333" s="6" t="s">
        <v>1018</v>
      </c>
      <c r="E333" s="12" t="s">
        <v>5805</v>
      </c>
      <c r="F333" s="6" t="s">
        <v>4111</v>
      </c>
      <c r="G333" s="6" t="s">
        <v>5796</v>
      </c>
      <c r="H333" s="6" t="s">
        <v>5806</v>
      </c>
      <c r="I333" s="6" t="s">
        <v>5798</v>
      </c>
      <c r="J333" t="s">
        <v>4111</v>
      </c>
      <c r="K333" s="12" t="s">
        <v>4115</v>
      </c>
      <c r="M333" s="6" t="s">
        <v>5807</v>
      </c>
      <c r="N333" s="14">
        <v>49.192413600000002</v>
      </c>
      <c r="O333" s="14">
        <v>16.604843299999999</v>
      </c>
      <c r="R333" s="6"/>
      <c r="S333" s="6"/>
      <c r="T333" s="6"/>
      <c r="U333" s="6"/>
      <c r="V333" s="6"/>
      <c r="W333" s="6"/>
    </row>
    <row r="334" spans="1:36">
      <c r="A334" s="6">
        <v>348</v>
      </c>
      <c r="B334" s="6" t="s">
        <v>5808</v>
      </c>
      <c r="D334" s="6" t="s">
        <v>379</v>
      </c>
      <c r="E334" s="12" t="s">
        <v>5809</v>
      </c>
      <c r="F334" s="6" t="s">
        <v>4111</v>
      </c>
      <c r="G334" s="6" t="s">
        <v>5810</v>
      </c>
      <c r="H334" s="6" t="s">
        <v>5811</v>
      </c>
      <c r="I334" s="6" t="s">
        <v>5812</v>
      </c>
      <c r="J334" s="6"/>
      <c r="K334" s="12" t="s">
        <v>5813</v>
      </c>
      <c r="M334" s="6" t="s">
        <v>5814</v>
      </c>
      <c r="N334" s="14">
        <v>49.364654399999999</v>
      </c>
      <c r="O334" s="14">
        <v>16.6471856</v>
      </c>
      <c r="R334" s="6"/>
      <c r="S334" s="6"/>
      <c r="T334" s="6"/>
      <c r="U334" s="6"/>
      <c r="V334" s="6"/>
      <c r="W334" s="6"/>
      <c r="Y334" s="6"/>
      <c r="Z334" s="6"/>
      <c r="AA334" s="6"/>
      <c r="AB334" s="6"/>
      <c r="AC334" s="6"/>
      <c r="AD334" s="6"/>
      <c r="AE334" s="6"/>
      <c r="AF334" s="6"/>
      <c r="AG334" s="6"/>
      <c r="AH334" s="6"/>
      <c r="AI334" s="6"/>
      <c r="AJ334" s="6"/>
    </row>
    <row r="335" spans="1:36">
      <c r="A335" s="6">
        <v>349</v>
      </c>
      <c r="B335" s="12" t="s">
        <v>5815</v>
      </c>
      <c r="C335" s="6"/>
      <c r="D335" s="6" t="s">
        <v>1018</v>
      </c>
      <c r="E335" s="12" t="s">
        <v>5816</v>
      </c>
      <c r="F335" s="6" t="s">
        <v>4111</v>
      </c>
      <c r="G335" s="6"/>
      <c r="H335" s="6" t="s">
        <v>5817</v>
      </c>
      <c r="I335" s="6" t="s">
        <v>5818</v>
      </c>
      <c r="J335" s="6" t="s">
        <v>4111</v>
      </c>
      <c r="K335" s="12" t="s">
        <v>4115</v>
      </c>
      <c r="M335" s="6" t="s">
        <v>5819</v>
      </c>
      <c r="N335" s="14">
        <v>49.199336899999999</v>
      </c>
      <c r="O335" s="14">
        <v>16.5936372</v>
      </c>
      <c r="R335" s="6"/>
      <c r="S335" s="6"/>
      <c r="T335" s="6"/>
      <c r="U335" s="6"/>
      <c r="V335" s="6"/>
      <c r="W335" s="6"/>
    </row>
    <row r="336" spans="1:36">
      <c r="A336" s="6">
        <v>350</v>
      </c>
      <c r="B336" s="8" t="s">
        <v>5820</v>
      </c>
      <c r="C336" s="6"/>
      <c r="D336" s="6" t="s">
        <v>1018</v>
      </c>
      <c r="E336" s="12" t="s">
        <v>5821</v>
      </c>
      <c r="F336" s="6" t="s">
        <v>4111</v>
      </c>
      <c r="G336" s="15" t="s">
        <v>5822</v>
      </c>
      <c r="H336" s="6" t="s">
        <v>5823</v>
      </c>
      <c r="I336" s="6" t="s">
        <v>5824</v>
      </c>
      <c r="J336" s="6" t="s">
        <v>4111</v>
      </c>
      <c r="K336" s="30" t="s">
        <v>5825</v>
      </c>
      <c r="M336" s="6" t="s">
        <v>5826</v>
      </c>
      <c r="N336" s="14">
        <v>49.195936099999997</v>
      </c>
      <c r="O336" s="14">
        <v>16.610069200000002</v>
      </c>
      <c r="R336" s="6"/>
      <c r="S336" s="6"/>
      <c r="T336" s="6"/>
      <c r="U336" s="6"/>
      <c r="V336" s="6"/>
      <c r="W336" s="6"/>
      <c r="Y336" s="6"/>
      <c r="Z336" s="6"/>
      <c r="AA336" s="6"/>
      <c r="AB336" s="6"/>
      <c r="AC336" s="6"/>
      <c r="AD336" s="6"/>
      <c r="AE336" s="6"/>
      <c r="AF336" s="6"/>
      <c r="AG336" s="6"/>
      <c r="AH336" s="6"/>
      <c r="AI336" s="6"/>
      <c r="AJ336" s="6"/>
    </row>
    <row r="337" spans="1:36">
      <c r="A337" s="6">
        <v>351</v>
      </c>
      <c r="B337" s="6" t="s">
        <v>5827</v>
      </c>
      <c r="C337" s="6"/>
      <c r="D337" s="6" t="s">
        <v>2156</v>
      </c>
      <c r="E337" s="12" t="s">
        <v>5828</v>
      </c>
      <c r="F337" s="6" t="s">
        <v>4111</v>
      </c>
      <c r="G337" s="15" t="s">
        <v>5829</v>
      </c>
      <c r="H337" s="6" t="s">
        <v>5830</v>
      </c>
      <c r="I337" s="6" t="s">
        <v>5831</v>
      </c>
      <c r="J337" s="6" t="s">
        <v>4111</v>
      </c>
      <c r="K337" s="12" t="s">
        <v>4115</v>
      </c>
      <c r="M337" s="6" t="s">
        <v>5832</v>
      </c>
      <c r="N337" s="25">
        <v>49.229114199999998</v>
      </c>
      <c r="O337" s="25">
        <v>17.670155000000001</v>
      </c>
      <c r="R337" s="6"/>
      <c r="S337" s="6"/>
      <c r="T337" s="6"/>
      <c r="U337" s="6"/>
      <c r="V337" s="6"/>
      <c r="W337" s="6"/>
    </row>
    <row r="338" spans="1:36">
      <c r="A338" s="6">
        <v>352</v>
      </c>
      <c r="B338" s="6" t="s">
        <v>5834</v>
      </c>
      <c r="C338" s="6" t="s">
        <v>214</v>
      </c>
      <c r="D338" s="6" t="s">
        <v>214</v>
      </c>
      <c r="E338" s="12" t="s">
        <v>5835</v>
      </c>
      <c r="F338" s="6" t="s">
        <v>4170</v>
      </c>
      <c r="G338" s="6"/>
      <c r="H338" s="6" t="s">
        <v>5836</v>
      </c>
      <c r="I338" s="6" t="s">
        <v>219</v>
      </c>
      <c r="J338" s="6"/>
      <c r="K338" s="6" t="s">
        <v>214</v>
      </c>
      <c r="L338" s="6"/>
      <c r="M338" s="6" t="s">
        <v>5837</v>
      </c>
      <c r="N338" s="28">
        <v>49.774123600000003</v>
      </c>
      <c r="O338" s="28">
        <v>18.2581639</v>
      </c>
      <c r="P338" s="6"/>
      <c r="Q338" s="6"/>
      <c r="R338" s="6"/>
      <c r="S338" s="6"/>
      <c r="T338" s="6"/>
      <c r="U338" s="6"/>
      <c r="V338" s="6"/>
      <c r="W338" s="6"/>
    </row>
    <row r="339" spans="1:36">
      <c r="A339" s="6">
        <v>353</v>
      </c>
      <c r="B339" s="6" t="s">
        <v>5838</v>
      </c>
      <c r="C339" s="6"/>
      <c r="D339" s="6" t="s">
        <v>33</v>
      </c>
      <c r="E339" s="12" t="s">
        <v>5839</v>
      </c>
      <c r="F339" s="6" t="s">
        <v>4111</v>
      </c>
      <c r="G339" s="6" t="s">
        <v>5840</v>
      </c>
      <c r="H339" s="6" t="s">
        <v>5841</v>
      </c>
      <c r="I339" s="6" t="s">
        <v>5842</v>
      </c>
      <c r="J339" s="6" t="s">
        <v>118</v>
      </c>
      <c r="K339" s="12" t="s">
        <v>4115</v>
      </c>
      <c r="M339" s="6" t="s">
        <v>5843</v>
      </c>
      <c r="N339" s="14">
        <v>50.0643411</v>
      </c>
      <c r="O339" s="14">
        <v>14.442041700000001</v>
      </c>
      <c r="R339" s="6"/>
      <c r="S339" s="6"/>
      <c r="T339" s="6"/>
      <c r="U339" s="6"/>
      <c r="V339" s="6"/>
      <c r="W339" s="6"/>
    </row>
    <row r="340" spans="1:36">
      <c r="A340" s="6">
        <v>354</v>
      </c>
      <c r="B340" s="6" t="s">
        <v>5844</v>
      </c>
      <c r="C340" s="6"/>
      <c r="D340" s="6" t="s">
        <v>5315</v>
      </c>
      <c r="E340" s="12" t="s">
        <v>5845</v>
      </c>
      <c r="F340" s="6" t="s">
        <v>4111</v>
      </c>
      <c r="G340" s="6"/>
      <c r="H340" s="6" t="s">
        <v>5846</v>
      </c>
      <c r="I340" s="6" t="s">
        <v>5847</v>
      </c>
      <c r="J340" s="6"/>
      <c r="K340" s="12" t="s">
        <v>4115</v>
      </c>
      <c r="M340" s="6" t="s">
        <v>5848</v>
      </c>
      <c r="N340" s="14">
        <v>49.220174999999998</v>
      </c>
      <c r="O340" s="14">
        <v>16.593435800000002</v>
      </c>
      <c r="R340" s="6"/>
      <c r="S340" s="6"/>
      <c r="T340" s="6"/>
      <c r="U340" s="6"/>
      <c r="V340" s="6"/>
      <c r="W340" s="6"/>
      <c r="Y340" s="6"/>
      <c r="Z340" s="6"/>
      <c r="AA340" s="6"/>
      <c r="AB340" s="6"/>
      <c r="AC340" s="6"/>
      <c r="AD340" s="6"/>
      <c r="AE340" s="6"/>
      <c r="AF340" s="6"/>
      <c r="AG340" s="6"/>
      <c r="AH340" s="6"/>
      <c r="AI340" s="6"/>
      <c r="AJ340" s="6"/>
    </row>
    <row r="341" spans="1:36">
      <c r="A341" s="6">
        <v>355</v>
      </c>
      <c r="B341" s="10" t="s">
        <v>5849</v>
      </c>
      <c r="C341" s="6"/>
      <c r="D341" s="6" t="s">
        <v>4382</v>
      </c>
      <c r="E341" s="12" t="s">
        <v>5850</v>
      </c>
      <c r="F341" s="6" t="s">
        <v>4111</v>
      </c>
      <c r="G341" s="6" t="s">
        <v>5851</v>
      </c>
      <c r="H341" s="6" t="s">
        <v>5852</v>
      </c>
      <c r="I341" t="s">
        <v>5853</v>
      </c>
      <c r="J341" s="6" t="s">
        <v>5854</v>
      </c>
      <c r="K341" s="12" t="s">
        <v>4115</v>
      </c>
      <c r="M341" s="12" t="s">
        <v>5855</v>
      </c>
      <c r="N341" s="18">
        <v>50.0639003</v>
      </c>
      <c r="O341" s="9">
        <v>14.453151099999999</v>
      </c>
      <c r="R341" s="6"/>
      <c r="S341" s="6"/>
      <c r="T341" s="6"/>
      <c r="U341" s="6"/>
      <c r="V341" s="6"/>
      <c r="W341" s="6"/>
    </row>
    <row r="342" spans="1:36">
      <c r="A342" s="6">
        <v>356</v>
      </c>
      <c r="B342" s="6" t="s">
        <v>5856</v>
      </c>
      <c r="D342" s="6" t="s">
        <v>419</v>
      </c>
      <c r="E342" s="12" t="s">
        <v>5857</v>
      </c>
      <c r="F342" s="6" t="s">
        <v>4111</v>
      </c>
      <c r="H342" t="s">
        <v>5858</v>
      </c>
      <c r="I342" t="s">
        <v>5859</v>
      </c>
      <c r="J342" s="6" t="s">
        <v>4111</v>
      </c>
      <c r="K342" s="12" t="s">
        <v>4115</v>
      </c>
      <c r="M342" t="s">
        <v>5860</v>
      </c>
      <c r="N342">
        <v>50.073710300000002</v>
      </c>
      <c r="O342">
        <v>14.414115300000001</v>
      </c>
    </row>
    <row r="343" spans="1:36">
      <c r="A343" s="6">
        <v>357</v>
      </c>
      <c r="B343" s="6" t="s">
        <v>5861</v>
      </c>
      <c r="C343" s="6" t="s">
        <v>2414</v>
      </c>
      <c r="D343" s="6" t="s">
        <v>2480</v>
      </c>
      <c r="E343" s="12" t="s">
        <v>5862</v>
      </c>
      <c r="F343" s="6" t="s">
        <v>4170</v>
      </c>
      <c r="I343" s="6" t="s">
        <v>2417</v>
      </c>
      <c r="K343" s="6" t="s">
        <v>2414</v>
      </c>
      <c r="M343" s="9" t="s">
        <v>5863</v>
      </c>
      <c r="N343" s="9">
        <v>49.106945000000003</v>
      </c>
      <c r="O343" s="9">
        <v>16.369663299999999</v>
      </c>
    </row>
    <row r="344" spans="1:36">
      <c r="A344" s="6">
        <v>358</v>
      </c>
      <c r="B344" s="6" t="s">
        <v>5864</v>
      </c>
      <c r="C344" s="6" t="s">
        <v>2375</v>
      </c>
      <c r="D344" s="6" t="s">
        <v>4069</v>
      </c>
      <c r="E344" s="12" t="s">
        <v>5865</v>
      </c>
      <c r="F344" s="6" t="s">
        <v>4170</v>
      </c>
      <c r="H344" t="s">
        <v>5866</v>
      </c>
      <c r="I344" s="6" t="s">
        <v>2379</v>
      </c>
      <c r="K344" s="6" t="s">
        <v>2375</v>
      </c>
      <c r="M344" t="s">
        <v>5867</v>
      </c>
      <c r="N344">
        <v>50.0874703</v>
      </c>
      <c r="O344">
        <v>14.405744200000001</v>
      </c>
    </row>
    <row r="345" spans="1:36">
      <c r="A345" s="6">
        <v>359</v>
      </c>
      <c r="B345" s="6" t="s">
        <v>5868</v>
      </c>
      <c r="D345" s="6" t="s">
        <v>1034</v>
      </c>
      <c r="E345" s="12" t="s">
        <v>5869</v>
      </c>
      <c r="F345" s="6" t="s">
        <v>4111</v>
      </c>
      <c r="G345" s="47" t="s">
        <v>5870</v>
      </c>
      <c r="H345" t="s">
        <v>5871</v>
      </c>
      <c r="I345" t="s">
        <v>5872</v>
      </c>
      <c r="J345" s="6" t="s">
        <v>4111</v>
      </c>
      <c r="K345" s="12" t="s">
        <v>4115</v>
      </c>
      <c r="M345" t="s">
        <v>5873</v>
      </c>
      <c r="N345">
        <v>49.595298300000003</v>
      </c>
      <c r="O345">
        <v>17.254451100000001</v>
      </c>
    </row>
    <row r="346" spans="1:36">
      <c r="A346" s="6">
        <v>360</v>
      </c>
      <c r="B346" s="6" t="s">
        <v>5874</v>
      </c>
      <c r="C346" s="6" t="s">
        <v>570</v>
      </c>
      <c r="D346" s="6" t="s">
        <v>570</v>
      </c>
      <c r="E346" s="12" t="s">
        <v>5875</v>
      </c>
      <c r="F346" s="6" t="s">
        <v>4170</v>
      </c>
      <c r="G346" s="6" t="s">
        <v>5876</v>
      </c>
      <c r="H346" t="s">
        <v>5877</v>
      </c>
      <c r="I346" s="6" t="s">
        <v>577</v>
      </c>
      <c r="K346" s="6" t="s">
        <v>570</v>
      </c>
      <c r="M346" t="s">
        <v>5878</v>
      </c>
      <c r="N346">
        <v>49.473939199999997</v>
      </c>
      <c r="O346">
        <v>14.6748589</v>
      </c>
      <c r="Y346" s="6"/>
      <c r="Z346" s="6"/>
      <c r="AA346" s="6"/>
      <c r="AB346" s="6"/>
      <c r="AC346" s="6"/>
      <c r="AD346" s="6"/>
      <c r="AE346" s="6"/>
      <c r="AF346" s="6"/>
      <c r="AG346" s="6"/>
      <c r="AH346" s="6"/>
      <c r="AI346" s="6"/>
      <c r="AJ346" s="6"/>
    </row>
    <row r="347" spans="1:36">
      <c r="A347" s="6">
        <v>361</v>
      </c>
      <c r="B347" s="6" t="s">
        <v>5880</v>
      </c>
      <c r="C347" s="6" t="s">
        <v>570</v>
      </c>
      <c r="D347" s="6" t="s">
        <v>570</v>
      </c>
      <c r="E347" s="12" t="s">
        <v>5881</v>
      </c>
      <c r="F347" s="6" t="s">
        <v>4170</v>
      </c>
      <c r="I347" s="6" t="s">
        <v>577</v>
      </c>
      <c r="K347" s="6" t="s">
        <v>570</v>
      </c>
      <c r="M347" t="s">
        <v>5882</v>
      </c>
      <c r="N347">
        <v>49.477944999999998</v>
      </c>
      <c r="O347">
        <v>14.680211399999999</v>
      </c>
      <c r="Y347" s="6"/>
      <c r="Z347" s="6"/>
      <c r="AA347" s="6"/>
      <c r="AB347" s="6"/>
      <c r="AC347" s="6"/>
      <c r="AD347" s="6"/>
      <c r="AE347" s="6"/>
      <c r="AF347" s="6"/>
      <c r="AG347" s="6"/>
      <c r="AH347" s="6"/>
      <c r="AI347" s="6"/>
      <c r="AJ347" s="6"/>
    </row>
    <row r="348" spans="1:36">
      <c r="A348" s="6">
        <v>362</v>
      </c>
      <c r="B348" s="6" t="s">
        <v>5883</v>
      </c>
      <c r="C348" s="6" t="s">
        <v>779</v>
      </c>
      <c r="D348" s="6" t="s">
        <v>781</v>
      </c>
      <c r="E348" s="12" t="s">
        <v>5884</v>
      </c>
      <c r="F348" s="6" t="s">
        <v>4170</v>
      </c>
      <c r="G348" s="6" t="s">
        <v>5885</v>
      </c>
      <c r="H348" t="s">
        <v>5886</v>
      </c>
      <c r="I348" s="6" t="s">
        <v>784</v>
      </c>
      <c r="K348" s="6" t="s">
        <v>779</v>
      </c>
      <c r="M348" t="s">
        <v>5887</v>
      </c>
      <c r="N348">
        <v>49.260046099999997</v>
      </c>
      <c r="O348">
        <v>15.3213525</v>
      </c>
    </row>
    <row r="349" spans="1:36">
      <c r="A349" s="6">
        <v>363</v>
      </c>
      <c r="B349" s="6" t="s">
        <v>4849</v>
      </c>
      <c r="C349" s="6" t="s">
        <v>779</v>
      </c>
      <c r="D349" s="6" t="s">
        <v>5888</v>
      </c>
      <c r="E349" s="12" t="s">
        <v>5889</v>
      </c>
      <c r="F349" s="6" t="s">
        <v>4170</v>
      </c>
      <c r="G349" s="6" t="s">
        <v>5890</v>
      </c>
      <c r="I349" s="6" t="s">
        <v>784</v>
      </c>
      <c r="K349" s="6" t="s">
        <v>779</v>
      </c>
      <c r="M349" t="s">
        <v>5891</v>
      </c>
      <c r="N349">
        <v>49.185606900000003</v>
      </c>
      <c r="O349">
        <v>15.2415392</v>
      </c>
    </row>
    <row r="350" spans="1:36">
      <c r="A350" s="6">
        <v>364</v>
      </c>
      <c r="B350" s="6" t="s">
        <v>5892</v>
      </c>
      <c r="C350" s="6" t="s">
        <v>1123</v>
      </c>
      <c r="D350" s="6" t="s">
        <v>5893</v>
      </c>
      <c r="E350" s="12" t="s">
        <v>5894</v>
      </c>
      <c r="F350" s="6" t="s">
        <v>4170</v>
      </c>
      <c r="G350" s="6" t="s">
        <v>5895</v>
      </c>
      <c r="I350" s="6" t="s">
        <v>1128</v>
      </c>
      <c r="K350" s="6" t="s">
        <v>1123</v>
      </c>
      <c r="M350" t="s">
        <v>5896</v>
      </c>
      <c r="N350">
        <v>49.545186899999997</v>
      </c>
      <c r="O350">
        <v>17.439036399999999</v>
      </c>
    </row>
    <row r="351" spans="1:36">
      <c r="A351" s="6">
        <v>365</v>
      </c>
      <c r="B351" s="6" t="s">
        <v>5897</v>
      </c>
      <c r="D351" s="6" t="s">
        <v>2281</v>
      </c>
      <c r="E351" s="12" t="s">
        <v>5898</v>
      </c>
      <c r="F351" s="6" t="s">
        <v>4111</v>
      </c>
      <c r="H351" t="s">
        <v>5899</v>
      </c>
      <c r="I351" t="s">
        <v>5900</v>
      </c>
      <c r="K351" s="12" t="s">
        <v>4115</v>
      </c>
      <c r="M351" t="s">
        <v>5901</v>
      </c>
      <c r="N351">
        <v>49.594014399999999</v>
      </c>
      <c r="O351">
        <v>17.273434699999999</v>
      </c>
    </row>
    <row r="352" spans="1:36">
      <c r="A352" s="6">
        <v>366</v>
      </c>
      <c r="B352" s="6" t="s">
        <v>5902</v>
      </c>
      <c r="C352" s="6" t="s">
        <v>1442</v>
      </c>
      <c r="D352" s="6" t="s">
        <v>1535</v>
      </c>
      <c r="E352" s="12" t="s">
        <v>5903</v>
      </c>
      <c r="F352" s="6" t="s">
        <v>4170</v>
      </c>
      <c r="H352" t="s">
        <v>5904</v>
      </c>
      <c r="I352" s="6" t="s">
        <v>1446</v>
      </c>
      <c r="K352" s="6" t="s">
        <v>1442</v>
      </c>
      <c r="M352" t="s">
        <v>5905</v>
      </c>
      <c r="N352">
        <v>49.3045489</v>
      </c>
      <c r="O352">
        <v>15.6786139</v>
      </c>
    </row>
    <row r="353" spans="1:36">
      <c r="A353" s="6">
        <v>367</v>
      </c>
      <c r="B353" s="6" t="s">
        <v>5906</v>
      </c>
      <c r="C353" s="6" t="s">
        <v>2846</v>
      </c>
      <c r="D353" s="6" t="s">
        <v>2848</v>
      </c>
      <c r="E353" s="12" t="s">
        <v>5907</v>
      </c>
      <c r="F353" s="6" t="s">
        <v>4170</v>
      </c>
      <c r="G353" s="29"/>
      <c r="I353" s="6" t="s">
        <v>2850</v>
      </c>
      <c r="K353" s="6" t="s">
        <v>2846</v>
      </c>
      <c r="M353" t="s">
        <v>5908</v>
      </c>
      <c r="N353">
        <v>49.290740300000003</v>
      </c>
      <c r="O353">
        <v>17.487058099999999</v>
      </c>
    </row>
    <row r="354" spans="1:36">
      <c r="A354" s="6">
        <v>368</v>
      </c>
      <c r="B354" s="6" t="s">
        <v>5909</v>
      </c>
      <c r="D354" s="6" t="s">
        <v>953</v>
      </c>
      <c r="E354" s="12" t="s">
        <v>5910</v>
      </c>
      <c r="F354" s="6" t="s">
        <v>4111</v>
      </c>
      <c r="G354" s="6" t="s">
        <v>5911</v>
      </c>
      <c r="H354" t="s">
        <v>5912</v>
      </c>
      <c r="I354" t="s">
        <v>5913</v>
      </c>
      <c r="K354" s="12" t="s">
        <v>4115</v>
      </c>
      <c r="M354" t="s">
        <v>5914</v>
      </c>
      <c r="N354">
        <v>49.345256399999997</v>
      </c>
      <c r="O354">
        <v>16.424949999999999</v>
      </c>
    </row>
    <row r="355" spans="1:36">
      <c r="A355" s="6">
        <v>369</v>
      </c>
      <c r="B355" s="6" t="s">
        <v>5915</v>
      </c>
      <c r="C355" s="6" t="s">
        <v>2936</v>
      </c>
      <c r="D355" s="6" t="s">
        <v>953</v>
      </c>
      <c r="E355" s="12" t="s">
        <v>5916</v>
      </c>
      <c r="F355" s="6" t="s">
        <v>4170</v>
      </c>
      <c r="G355" s="6" t="s">
        <v>5917</v>
      </c>
      <c r="I355" s="6" t="s">
        <v>2939</v>
      </c>
      <c r="J355" s="6" t="s">
        <v>5918</v>
      </c>
      <c r="K355" s="6" t="s">
        <v>2936</v>
      </c>
      <c r="M355" t="s">
        <v>5919</v>
      </c>
      <c r="N355">
        <v>49.349427499999997</v>
      </c>
      <c r="O355">
        <v>16.4203875</v>
      </c>
    </row>
    <row r="356" spans="1:36">
      <c r="A356" s="6">
        <v>370</v>
      </c>
      <c r="B356" s="6" t="s">
        <v>5920</v>
      </c>
      <c r="C356" s="6" t="s">
        <v>2936</v>
      </c>
      <c r="D356" s="6" t="s">
        <v>953</v>
      </c>
      <c r="E356" s="12" t="s">
        <v>2938</v>
      </c>
      <c r="F356" s="6" t="s">
        <v>4170</v>
      </c>
      <c r="G356" s="6" t="s">
        <v>5921</v>
      </c>
      <c r="I356" s="6" t="s">
        <v>2939</v>
      </c>
      <c r="K356" s="6" t="s">
        <v>2936</v>
      </c>
      <c r="M356" s="6" t="s">
        <v>5922</v>
      </c>
      <c r="N356" s="6">
        <v>49.342140000000001</v>
      </c>
      <c r="O356" s="6">
        <v>16.435044000000001</v>
      </c>
    </row>
    <row r="357" spans="1:36">
      <c r="A357" s="6">
        <v>371</v>
      </c>
      <c r="B357" s="6" t="s">
        <v>5924</v>
      </c>
      <c r="C357" s="6" t="s">
        <v>2987</v>
      </c>
      <c r="D357" s="6" t="s">
        <v>5925</v>
      </c>
      <c r="E357" s="12" t="s">
        <v>5926</v>
      </c>
      <c r="F357" s="6" t="s">
        <v>4170</v>
      </c>
      <c r="G357" s="6" t="s">
        <v>5927</v>
      </c>
      <c r="I357" s="6" t="s">
        <v>2990</v>
      </c>
      <c r="K357" s="6" t="s">
        <v>2987</v>
      </c>
      <c r="M357" t="s">
        <v>5928</v>
      </c>
      <c r="N357">
        <v>49.3182756</v>
      </c>
      <c r="O357">
        <v>14.647092499999999</v>
      </c>
    </row>
    <row r="358" spans="1:36">
      <c r="A358" s="6">
        <v>372</v>
      </c>
      <c r="B358" s="6" t="s">
        <v>5929</v>
      </c>
      <c r="D358" s="6" t="s">
        <v>5930</v>
      </c>
      <c r="E358" s="12" t="s">
        <v>5931</v>
      </c>
      <c r="F358" s="6" t="s">
        <v>4111</v>
      </c>
      <c r="G358" s="10" t="s">
        <v>5932</v>
      </c>
      <c r="H358" s="10" t="s">
        <v>5933</v>
      </c>
      <c r="I358" s="6" t="s">
        <v>5934</v>
      </c>
      <c r="K358" s="12" t="s">
        <v>4115</v>
      </c>
      <c r="M358" s="6" t="s">
        <v>5935</v>
      </c>
      <c r="N358">
        <v>48.840470000000003</v>
      </c>
      <c r="O358">
        <v>16.157398100000002</v>
      </c>
    </row>
    <row r="359" spans="1:36">
      <c r="A359" s="6">
        <v>373</v>
      </c>
      <c r="B359" s="6" t="s">
        <v>5936</v>
      </c>
      <c r="C359" s="6" t="s">
        <v>3324</v>
      </c>
      <c r="D359" s="6" t="s">
        <v>3324</v>
      </c>
      <c r="E359" s="12" t="s">
        <v>5937</v>
      </c>
      <c r="F359" s="6" t="s">
        <v>4170</v>
      </c>
      <c r="I359" s="6" t="s">
        <v>3327</v>
      </c>
      <c r="K359" s="6" t="s">
        <v>3324</v>
      </c>
      <c r="M359" t="s">
        <v>5938</v>
      </c>
      <c r="N359">
        <v>48.888464399999997</v>
      </c>
      <c r="O359">
        <v>14.7266867</v>
      </c>
    </row>
    <row r="360" spans="1:36">
      <c r="A360" s="6">
        <v>374</v>
      </c>
      <c r="B360" s="6" t="s">
        <v>5939</v>
      </c>
      <c r="D360" s="6" t="s">
        <v>410</v>
      </c>
      <c r="E360" s="12" t="s">
        <v>5940</v>
      </c>
      <c r="F360" s="6" t="s">
        <v>4111</v>
      </c>
      <c r="G360" s="6" t="s">
        <v>5941</v>
      </c>
      <c r="H360" t="s">
        <v>5942</v>
      </c>
      <c r="I360" t="s">
        <v>5943</v>
      </c>
      <c r="K360" s="12" t="s">
        <v>4115</v>
      </c>
      <c r="M360" t="s">
        <v>5944</v>
      </c>
      <c r="N360">
        <v>48.804479200000003</v>
      </c>
      <c r="O360">
        <v>14.3116764</v>
      </c>
    </row>
    <row r="361" spans="1:36">
      <c r="A361" s="6">
        <v>375</v>
      </c>
      <c r="B361" s="6" t="s">
        <v>5945</v>
      </c>
      <c r="C361" t="s">
        <v>3073</v>
      </c>
      <c r="D361" s="6" t="s">
        <v>3075</v>
      </c>
      <c r="E361" s="12" t="s">
        <v>5946</v>
      </c>
      <c r="F361" s="6" t="s">
        <v>4170</v>
      </c>
      <c r="G361" s="6" t="s">
        <v>5947</v>
      </c>
      <c r="I361" s="6" t="s">
        <v>3077</v>
      </c>
      <c r="K361" s="6" t="s">
        <v>3073</v>
      </c>
      <c r="M361" t="s">
        <v>5948</v>
      </c>
      <c r="N361">
        <v>50.023911699999999</v>
      </c>
      <c r="O361">
        <v>14.4662658</v>
      </c>
      <c r="Y361" s="6"/>
      <c r="Z361" s="12" t="s">
        <v>47</v>
      </c>
      <c r="AA361" s="6"/>
      <c r="AB361" s="6"/>
      <c r="AC361" s="6"/>
      <c r="AD361" s="6"/>
      <c r="AE361" s="6"/>
      <c r="AF361" s="6"/>
      <c r="AG361" s="6"/>
      <c r="AH361" s="6"/>
      <c r="AI361" s="6"/>
      <c r="AJ361" s="6"/>
    </row>
    <row r="362" spans="1:36">
      <c r="A362" s="6">
        <v>376</v>
      </c>
      <c r="B362" s="6" t="s">
        <v>5949</v>
      </c>
      <c r="D362" s="6" t="s">
        <v>3075</v>
      </c>
      <c r="E362" s="12" t="s">
        <v>5950</v>
      </c>
      <c r="F362" s="6" t="s">
        <v>4111</v>
      </c>
      <c r="G362" s="6" t="s">
        <v>5951</v>
      </c>
      <c r="H362" t="s">
        <v>5952</v>
      </c>
      <c r="I362" t="s">
        <v>5953</v>
      </c>
      <c r="J362" s="6" t="s">
        <v>4111</v>
      </c>
      <c r="K362" s="12" t="s">
        <v>5954</v>
      </c>
      <c r="M362" t="s">
        <v>5955</v>
      </c>
      <c r="N362">
        <v>50.014363299999999</v>
      </c>
      <c r="O362">
        <v>14.4945339</v>
      </c>
    </row>
    <row r="363" spans="1:36">
      <c r="A363" s="6">
        <v>377</v>
      </c>
      <c r="B363" s="6" t="s">
        <v>5956</v>
      </c>
      <c r="C363" t="s">
        <v>3540</v>
      </c>
      <c r="D363" s="6" t="s">
        <v>76</v>
      </c>
      <c r="E363" s="12" t="s">
        <v>5957</v>
      </c>
      <c r="F363" s="6" t="s">
        <v>4170</v>
      </c>
      <c r="H363" t="s">
        <v>5958</v>
      </c>
      <c r="I363" s="6" t="s">
        <v>3544</v>
      </c>
      <c r="K363" s="6" t="s">
        <v>3540</v>
      </c>
      <c r="M363" t="s">
        <v>5959</v>
      </c>
      <c r="N363">
        <v>50.105741899999998</v>
      </c>
      <c r="O363">
        <v>13.7319572</v>
      </c>
    </row>
    <row r="364" spans="1:36">
      <c r="A364" s="6">
        <v>378</v>
      </c>
      <c r="B364" s="6" t="s">
        <v>5960</v>
      </c>
      <c r="C364" s="6" t="s">
        <v>3540</v>
      </c>
      <c r="D364" s="6" t="s">
        <v>3542</v>
      </c>
      <c r="E364" s="12" t="s">
        <v>5961</v>
      </c>
      <c r="F364" s="6" t="s">
        <v>4170</v>
      </c>
      <c r="G364" s="6" t="s">
        <v>5962</v>
      </c>
      <c r="I364" s="6" t="s">
        <v>3544</v>
      </c>
      <c r="K364" s="6" t="s">
        <v>3540</v>
      </c>
      <c r="M364" t="s">
        <v>5963</v>
      </c>
      <c r="N364">
        <v>50.183990600000001</v>
      </c>
      <c r="O364">
        <v>13.807722200000001</v>
      </c>
    </row>
    <row r="365" spans="1:36">
      <c r="A365" s="6">
        <v>379</v>
      </c>
      <c r="B365" s="6" t="s">
        <v>5964</v>
      </c>
      <c r="D365" s="6" t="s">
        <v>2602</v>
      </c>
      <c r="E365" s="12" t="s">
        <v>5965</v>
      </c>
      <c r="F365" s="6" t="s">
        <v>4111</v>
      </c>
      <c r="G365" s="6" t="s">
        <v>5966</v>
      </c>
      <c r="H365" s="6" t="s">
        <v>5967</v>
      </c>
      <c r="I365" t="s">
        <v>5968</v>
      </c>
      <c r="K365" s="12" t="s">
        <v>4115</v>
      </c>
      <c r="M365" t="s">
        <v>5969</v>
      </c>
      <c r="N365">
        <v>50.068330000000003</v>
      </c>
      <c r="O365">
        <v>14.4332142</v>
      </c>
    </row>
    <row r="366" spans="1:36">
      <c r="A366" s="6">
        <v>382</v>
      </c>
      <c r="B366" s="6" t="s">
        <v>5970</v>
      </c>
      <c r="C366" s="6" t="s">
        <v>3762</v>
      </c>
      <c r="D366" s="6" t="s">
        <v>1018</v>
      </c>
      <c r="E366" s="12" t="s">
        <v>5971</v>
      </c>
      <c r="F366" s="6" t="s">
        <v>4170</v>
      </c>
      <c r="G366" s="6" t="s">
        <v>5822</v>
      </c>
      <c r="H366" t="s">
        <v>5823</v>
      </c>
      <c r="I366" s="6" t="s">
        <v>3766</v>
      </c>
      <c r="J366" s="6" t="s">
        <v>5972</v>
      </c>
      <c r="K366" s="12" t="s">
        <v>5973</v>
      </c>
      <c r="M366" t="s">
        <v>5974</v>
      </c>
      <c r="N366">
        <v>49.196962200000002</v>
      </c>
      <c r="O366">
        <v>16.605896699999999</v>
      </c>
      <c r="Y366" s="6"/>
      <c r="Z366" s="6"/>
      <c r="AA366" s="6"/>
      <c r="AB366" s="6"/>
      <c r="AC366" s="6"/>
      <c r="AD366" s="6"/>
      <c r="AE366" s="6"/>
      <c r="AF366" s="6"/>
      <c r="AG366" s="6"/>
      <c r="AH366" s="6"/>
      <c r="AI366" s="6"/>
      <c r="AJ366" s="6"/>
    </row>
    <row r="367" spans="1:36">
      <c r="A367" s="6">
        <v>383</v>
      </c>
      <c r="B367" s="6" t="s">
        <v>5975</v>
      </c>
      <c r="C367" s="6" t="s">
        <v>3762</v>
      </c>
      <c r="D367" s="6" t="s">
        <v>5537</v>
      </c>
      <c r="E367" s="12" t="s">
        <v>5976</v>
      </c>
      <c r="F367" s="6" t="s">
        <v>4170</v>
      </c>
      <c r="G367" s="6" t="s">
        <v>5822</v>
      </c>
      <c r="H367" t="s">
        <v>5823</v>
      </c>
      <c r="I367" s="6" t="s">
        <v>3766</v>
      </c>
      <c r="J367" s="6" t="s">
        <v>5972</v>
      </c>
      <c r="K367" s="12" t="s">
        <v>5973</v>
      </c>
      <c r="M367" t="s">
        <v>5977</v>
      </c>
      <c r="N367">
        <v>49.211895800000001</v>
      </c>
      <c r="O367">
        <v>16.5925197</v>
      </c>
      <c r="Y367" s="6"/>
      <c r="Z367" s="6"/>
      <c r="AA367" s="6"/>
      <c r="AB367" s="6"/>
      <c r="AC367" s="6"/>
      <c r="AD367" s="6"/>
      <c r="AE367" s="6"/>
      <c r="AF367" s="6"/>
      <c r="AG367" s="6"/>
      <c r="AH367" s="6"/>
      <c r="AI367" s="6"/>
      <c r="AJ367" s="6"/>
    </row>
    <row r="368" spans="1:36">
      <c r="A368" s="6">
        <v>384</v>
      </c>
      <c r="B368" s="6" t="s">
        <v>5978</v>
      </c>
      <c r="C368" s="6" t="s">
        <v>2616</v>
      </c>
      <c r="D368" s="6" t="s">
        <v>1034</v>
      </c>
      <c r="E368" s="12" t="s">
        <v>5979</v>
      </c>
      <c r="F368" s="6" t="s">
        <v>4170</v>
      </c>
      <c r="G368" s="10" t="s">
        <v>5980</v>
      </c>
      <c r="H368" t="s">
        <v>5981</v>
      </c>
      <c r="I368" s="6" t="s">
        <v>2620</v>
      </c>
      <c r="K368" s="6" t="s">
        <v>2616</v>
      </c>
      <c r="M368" t="s">
        <v>5982</v>
      </c>
      <c r="N368">
        <v>49.596217199999998</v>
      </c>
      <c r="O368">
        <v>17.2527486</v>
      </c>
    </row>
    <row r="369" spans="1:36">
      <c r="A369" s="6">
        <v>385</v>
      </c>
      <c r="B369" s="6" t="s">
        <v>5983</v>
      </c>
      <c r="C369" s="6" t="s">
        <v>2616</v>
      </c>
      <c r="D369" s="6" t="s">
        <v>1034</v>
      </c>
      <c r="E369" s="12" t="s">
        <v>5984</v>
      </c>
      <c r="F369" s="6" t="s">
        <v>4170</v>
      </c>
      <c r="G369" s="10" t="s">
        <v>5985</v>
      </c>
      <c r="H369" t="s">
        <v>5986</v>
      </c>
      <c r="I369" s="6" t="s">
        <v>2620</v>
      </c>
      <c r="K369" s="6" t="s">
        <v>2616</v>
      </c>
      <c r="M369" t="s">
        <v>5987</v>
      </c>
      <c r="N369">
        <v>49.597652500000002</v>
      </c>
      <c r="O369">
        <v>17.259931099999999</v>
      </c>
      <c r="Y369" s="6"/>
      <c r="Z369" s="6"/>
      <c r="AA369" s="6"/>
      <c r="AB369" s="6"/>
      <c r="AC369" s="6"/>
      <c r="AD369" s="6"/>
      <c r="AE369" s="6"/>
      <c r="AF369" s="6"/>
      <c r="AG369" s="6"/>
      <c r="AH369" s="6"/>
      <c r="AI369" s="6"/>
      <c r="AJ369" s="6"/>
    </row>
    <row r="370" spans="1:36">
      <c r="A370" s="6">
        <v>386</v>
      </c>
      <c r="B370" s="6" t="s">
        <v>5988</v>
      </c>
      <c r="C370" s="6" t="s">
        <v>5989</v>
      </c>
      <c r="D370" s="6" t="s">
        <v>5990</v>
      </c>
      <c r="E370" s="12" t="s">
        <v>5991</v>
      </c>
      <c r="F370" s="6" t="s">
        <v>4170</v>
      </c>
      <c r="H370" t="s">
        <v>5992</v>
      </c>
      <c r="I370" t="s">
        <v>5993</v>
      </c>
      <c r="J370" s="6" t="s">
        <v>5994</v>
      </c>
      <c r="K370" s="6" t="s">
        <v>5989</v>
      </c>
      <c r="M370" t="s">
        <v>5995</v>
      </c>
      <c r="N370">
        <v>49.722906899999998</v>
      </c>
      <c r="O370">
        <v>17.291577799999999</v>
      </c>
      <c r="Z370" s="9" t="s">
        <v>47</v>
      </c>
    </row>
    <row r="371" spans="1:36">
      <c r="A371" s="6">
        <v>387</v>
      </c>
      <c r="B371" s="6" t="s">
        <v>5996</v>
      </c>
      <c r="C371" s="12" t="s">
        <v>5997</v>
      </c>
      <c r="D371" s="6" t="s">
        <v>5990</v>
      </c>
      <c r="E371" s="12" t="s">
        <v>5998</v>
      </c>
      <c r="F371" s="6" t="s">
        <v>4170</v>
      </c>
      <c r="G371" s="10" t="s">
        <v>5999</v>
      </c>
      <c r="H371" t="s">
        <v>6000</v>
      </c>
      <c r="I371" t="s">
        <v>6001</v>
      </c>
      <c r="J371" s="6" t="s">
        <v>5994</v>
      </c>
      <c r="K371" s="12" t="s">
        <v>6002</v>
      </c>
      <c r="M371" t="s">
        <v>6003</v>
      </c>
      <c r="N371">
        <v>49.728016699999998</v>
      </c>
      <c r="O371">
        <v>17.296883099999999</v>
      </c>
    </row>
    <row r="372" spans="1:36">
      <c r="A372" s="6">
        <v>388</v>
      </c>
      <c r="B372" s="6" t="s">
        <v>6004</v>
      </c>
      <c r="C372" s="6" t="s">
        <v>6005</v>
      </c>
      <c r="D372" s="6" t="s">
        <v>6006</v>
      </c>
      <c r="E372" s="12" t="s">
        <v>6007</v>
      </c>
      <c r="F372" s="6" t="s">
        <v>4170</v>
      </c>
      <c r="G372" s="6" t="s">
        <v>6009</v>
      </c>
      <c r="I372" t="s">
        <v>6010</v>
      </c>
      <c r="J372" t="s">
        <v>6011</v>
      </c>
      <c r="K372" s="6" t="s">
        <v>6005</v>
      </c>
      <c r="M372" t="s">
        <v>6012</v>
      </c>
      <c r="N372">
        <v>50.130665</v>
      </c>
      <c r="O372">
        <v>14.375462499999999</v>
      </c>
    </row>
    <row r="373" spans="1:36">
      <c r="A373" s="6">
        <v>389</v>
      </c>
      <c r="B373" s="6" t="s">
        <v>6013</v>
      </c>
      <c r="D373" s="6" t="s">
        <v>1034</v>
      </c>
      <c r="E373" s="12" t="s">
        <v>6014</v>
      </c>
      <c r="F373" s="6" t="s">
        <v>4111</v>
      </c>
      <c r="G373" s="6" t="s">
        <v>6016</v>
      </c>
      <c r="H373" t="s">
        <v>6017</v>
      </c>
      <c r="I373" t="s">
        <v>6018</v>
      </c>
      <c r="K373" s="12" t="s">
        <v>4115</v>
      </c>
      <c r="M373" t="s">
        <v>6019</v>
      </c>
      <c r="N373">
        <v>49.593668600000001</v>
      </c>
      <c r="O373">
        <v>17.2521767</v>
      </c>
    </row>
    <row r="374" spans="1:36">
      <c r="A374" s="6">
        <v>390</v>
      </c>
      <c r="B374" s="6" t="s">
        <v>6020</v>
      </c>
      <c r="D374" s="6" t="s">
        <v>1034</v>
      </c>
      <c r="E374" s="12" t="s">
        <v>6021</v>
      </c>
      <c r="F374" s="6" t="s">
        <v>4111</v>
      </c>
      <c r="G374" s="6" t="s">
        <v>6022</v>
      </c>
      <c r="H374" s="15" t="s">
        <v>6023</v>
      </c>
      <c r="I374" t="s">
        <v>6024</v>
      </c>
      <c r="K374" s="12" t="s">
        <v>4115</v>
      </c>
      <c r="M374" s="9" t="s">
        <v>6025</v>
      </c>
      <c r="N374" s="9">
        <v>49.591068100000001</v>
      </c>
      <c r="O374" s="9">
        <v>17.248632199999999</v>
      </c>
      <c r="Y374" s="6"/>
      <c r="Z374" s="6"/>
      <c r="AA374" s="6"/>
      <c r="AB374" s="6"/>
      <c r="AC374" s="6"/>
      <c r="AD374" s="6"/>
      <c r="AE374" s="6"/>
      <c r="AF374" s="6"/>
      <c r="AG374" s="6"/>
      <c r="AH374" s="6"/>
      <c r="AI374" s="6"/>
      <c r="AJ374" s="6"/>
    </row>
    <row r="375" spans="1:36">
      <c r="A375" s="6">
        <v>391</v>
      </c>
      <c r="B375" s="6" t="s">
        <v>6026</v>
      </c>
      <c r="D375" s="6" t="s">
        <v>6027</v>
      </c>
      <c r="E375" s="12" t="s">
        <v>6028</v>
      </c>
      <c r="F375" s="6" t="s">
        <v>4111</v>
      </c>
      <c r="G375" s="6" t="s">
        <v>6029</v>
      </c>
      <c r="H375" t="s">
        <v>6030</v>
      </c>
      <c r="I375" t="s">
        <v>6031</v>
      </c>
      <c r="J375" s="6" t="s">
        <v>6032</v>
      </c>
      <c r="K375" s="12" t="s">
        <v>4115</v>
      </c>
      <c r="M375" t="s">
        <v>6033</v>
      </c>
      <c r="N375">
        <v>49.550199999999997</v>
      </c>
      <c r="O375">
        <v>17.736099400000001</v>
      </c>
      <c r="Y375" s="6"/>
      <c r="Z375" s="6"/>
      <c r="AA375" s="6"/>
      <c r="AB375" s="6"/>
      <c r="AC375" s="6"/>
      <c r="AD375" s="6"/>
      <c r="AE375" s="6"/>
      <c r="AF375" s="6"/>
      <c r="AG375" s="6"/>
      <c r="AH375" s="6"/>
      <c r="AI375" s="6"/>
      <c r="AJ375" s="6"/>
    </row>
    <row r="376" spans="1:36">
      <c r="A376" s="6">
        <v>392</v>
      </c>
      <c r="B376" s="6" t="s">
        <v>6034</v>
      </c>
      <c r="C376" s="6" t="s">
        <v>3678</v>
      </c>
      <c r="D376" s="6" t="s">
        <v>1165</v>
      </c>
      <c r="E376" s="12" t="s">
        <v>3680</v>
      </c>
      <c r="F376" s="6" t="s">
        <v>4170</v>
      </c>
      <c r="G376" s="6" t="s">
        <v>6035</v>
      </c>
      <c r="H376" t="s">
        <v>6036</v>
      </c>
      <c r="I376" s="6" t="s">
        <v>3681</v>
      </c>
      <c r="K376" s="6" t="s">
        <v>3678</v>
      </c>
      <c r="M376" t="s">
        <v>6037</v>
      </c>
      <c r="N376">
        <v>50.369818299999999</v>
      </c>
      <c r="O376">
        <v>15.638024400000001</v>
      </c>
      <c r="Y376" s="6"/>
      <c r="Z376" s="6"/>
      <c r="AA376" s="6"/>
      <c r="AB376" s="6"/>
      <c r="AC376" s="6"/>
      <c r="AD376" s="6"/>
      <c r="AE376" s="6"/>
      <c r="AF376" s="6"/>
      <c r="AG376" s="6"/>
      <c r="AH376" s="6"/>
      <c r="AI376" s="6"/>
      <c r="AJ376" s="6"/>
    </row>
    <row r="377" spans="1:36">
      <c r="A377" s="6">
        <v>393</v>
      </c>
      <c r="B377" s="6" t="s">
        <v>6038</v>
      </c>
      <c r="D377" s="6" t="s">
        <v>4158</v>
      </c>
      <c r="E377" s="12" t="s">
        <v>6039</v>
      </c>
      <c r="F377" s="6" t="s">
        <v>4111</v>
      </c>
      <c r="H377" t="s">
        <v>6040</v>
      </c>
      <c r="I377" t="s">
        <v>6041</v>
      </c>
      <c r="K377" s="12" t="s">
        <v>4115</v>
      </c>
      <c r="M377" t="s">
        <v>6042</v>
      </c>
      <c r="N377">
        <v>50.094698100000002</v>
      </c>
      <c r="O377">
        <v>14.4552403</v>
      </c>
    </row>
    <row r="378" spans="1:36">
      <c r="A378" s="6">
        <v>394</v>
      </c>
      <c r="B378" s="6" t="s">
        <v>6043</v>
      </c>
      <c r="C378" s="6" t="s">
        <v>1342</v>
      </c>
      <c r="D378" s="6" t="s">
        <v>466</v>
      </c>
      <c r="E378" s="12" t="s">
        <v>6044</v>
      </c>
      <c r="F378" s="6" t="s">
        <v>4178</v>
      </c>
      <c r="G378" s="6" t="s">
        <v>6045</v>
      </c>
      <c r="H378" s="6" t="s">
        <v>6046</v>
      </c>
      <c r="I378" s="6" t="s">
        <v>1347</v>
      </c>
      <c r="K378" s="6" t="s">
        <v>1342</v>
      </c>
      <c r="M378" t="s">
        <v>6047</v>
      </c>
      <c r="N378">
        <v>49.988657199999999</v>
      </c>
      <c r="O378">
        <v>17.4646303</v>
      </c>
      <c r="Y378" s="6"/>
      <c r="Z378" s="6"/>
      <c r="AA378" s="6"/>
      <c r="AB378" s="6"/>
      <c r="AC378" s="6"/>
      <c r="AD378" s="6"/>
      <c r="AE378" s="6"/>
      <c r="AF378" s="6"/>
      <c r="AG378" s="6"/>
      <c r="AH378" s="6"/>
      <c r="AI378" s="6"/>
      <c r="AJ378" s="6"/>
    </row>
    <row r="379" spans="1:36">
      <c r="A379" s="6">
        <v>395</v>
      </c>
      <c r="B379" s="6" t="s">
        <v>6048</v>
      </c>
      <c r="D379" s="6" t="s">
        <v>4382</v>
      </c>
      <c r="E379" s="12" t="s">
        <v>6049</v>
      </c>
      <c r="F379" s="6" t="s">
        <v>4111</v>
      </c>
      <c r="G379" s="6" t="s">
        <v>6050</v>
      </c>
      <c r="H379" t="s">
        <v>6051</v>
      </c>
      <c r="I379" t="s">
        <v>6052</v>
      </c>
      <c r="J379" s="6" t="s">
        <v>4996</v>
      </c>
      <c r="K379" s="12" t="s">
        <v>4115</v>
      </c>
      <c r="M379" t="s">
        <v>6053</v>
      </c>
      <c r="N379">
        <v>50.070598599999997</v>
      </c>
      <c r="O379">
        <v>14.450867199999999</v>
      </c>
    </row>
    <row r="380" spans="1:36">
      <c r="A380" s="6">
        <v>396</v>
      </c>
      <c r="B380" s="6" t="s">
        <v>6054</v>
      </c>
      <c r="C380" s="6"/>
      <c r="D380" s="6" t="s">
        <v>6055</v>
      </c>
      <c r="E380" s="12" t="s">
        <v>6056</v>
      </c>
      <c r="F380" s="6" t="s">
        <v>4111</v>
      </c>
      <c r="H380" s="6" t="s">
        <v>6057</v>
      </c>
      <c r="I380" s="6" t="s">
        <v>6058</v>
      </c>
      <c r="J380" s="6" t="s">
        <v>6059</v>
      </c>
      <c r="K380" s="12" t="s">
        <v>6060</v>
      </c>
      <c r="M380" s="6" t="s">
        <v>6061</v>
      </c>
      <c r="N380" s="6">
        <v>50.101226699999998</v>
      </c>
      <c r="O380" s="6">
        <v>14.4044911</v>
      </c>
    </row>
    <row r="381" spans="1:36">
      <c r="A381" s="6">
        <v>397</v>
      </c>
      <c r="B381" s="6" t="s">
        <v>6062</v>
      </c>
      <c r="C381" t="s">
        <v>726</v>
      </c>
      <c r="D381" s="6" t="s">
        <v>6063</v>
      </c>
      <c r="E381" s="12" t="s">
        <v>6064</v>
      </c>
      <c r="F381" s="6" t="s">
        <v>4170</v>
      </c>
      <c r="G381" s="6" t="s">
        <v>6065</v>
      </c>
      <c r="H381" s="6" t="s">
        <v>6066</v>
      </c>
      <c r="I381" s="6" t="s">
        <v>732</v>
      </c>
      <c r="J381" s="6" t="s">
        <v>6067</v>
      </c>
      <c r="K381" s="12" t="s">
        <v>6068</v>
      </c>
      <c r="M381" t="s">
        <v>6069</v>
      </c>
      <c r="N381">
        <v>49.530136900000002</v>
      </c>
      <c r="O381">
        <v>17.8725819</v>
      </c>
    </row>
    <row r="382" spans="1:36">
      <c r="A382" s="6">
        <v>398</v>
      </c>
      <c r="B382" s="6" t="s">
        <v>6070</v>
      </c>
      <c r="C382" s="6" t="s">
        <v>1342</v>
      </c>
      <c r="D382" s="6" t="s">
        <v>6071</v>
      </c>
      <c r="E382" s="12" t="s">
        <v>6072</v>
      </c>
      <c r="F382" s="6" t="s">
        <v>4178</v>
      </c>
      <c r="G382" s="6" t="s">
        <v>6073</v>
      </c>
      <c r="H382" s="6" t="s">
        <v>6074</v>
      </c>
      <c r="I382" s="6" t="s">
        <v>1347</v>
      </c>
      <c r="J382" s="6"/>
      <c r="K382" s="6" t="s">
        <v>1342</v>
      </c>
      <c r="L382" s="6"/>
      <c r="M382" t="s">
        <v>6075</v>
      </c>
      <c r="N382">
        <v>50.110569699999999</v>
      </c>
      <c r="O382">
        <v>14.506478899999999</v>
      </c>
    </row>
    <row r="383" spans="1:36">
      <c r="A383" s="6">
        <v>400</v>
      </c>
      <c r="B383" s="6" t="s">
        <v>6076</v>
      </c>
      <c r="C383" s="6" t="s">
        <v>3293</v>
      </c>
      <c r="D383" s="6" t="s">
        <v>3293</v>
      </c>
      <c r="E383" s="12" t="s">
        <v>6077</v>
      </c>
      <c r="F383" s="6" t="s">
        <v>4170</v>
      </c>
      <c r="G383" s="6"/>
      <c r="I383" s="6" t="s">
        <v>3296</v>
      </c>
      <c r="J383" s="6"/>
      <c r="K383" s="6" t="s">
        <v>3293</v>
      </c>
      <c r="M383" t="s">
        <v>6078</v>
      </c>
      <c r="N383">
        <v>49.810549700000003</v>
      </c>
      <c r="O383">
        <v>15.1838756</v>
      </c>
    </row>
    <row r="384" spans="1:36">
      <c r="A384" s="6">
        <v>401</v>
      </c>
      <c r="B384" s="6" t="s">
        <v>6079</v>
      </c>
      <c r="C384" s="6" t="s">
        <v>3293</v>
      </c>
      <c r="D384" s="6" t="s">
        <v>6080</v>
      </c>
      <c r="E384" s="12" t="s">
        <v>6081</v>
      </c>
      <c r="F384" s="6" t="s">
        <v>4170</v>
      </c>
      <c r="G384" s="6" t="s">
        <v>6082</v>
      </c>
      <c r="H384" s="6" t="s">
        <v>6083</v>
      </c>
      <c r="I384" s="6" t="s">
        <v>3296</v>
      </c>
      <c r="K384" s="6" t="s">
        <v>3293</v>
      </c>
      <c r="M384" s="6" t="s">
        <v>6084</v>
      </c>
      <c r="N384">
        <v>49.970910000000003</v>
      </c>
      <c r="O384">
        <v>15.2852172</v>
      </c>
    </row>
    <row r="385" spans="1:36">
      <c r="A385" s="6">
        <v>402</v>
      </c>
      <c r="B385" s="6" t="s">
        <v>6085</v>
      </c>
      <c r="C385" s="6" t="s">
        <v>1469</v>
      </c>
      <c r="D385" s="6" t="s">
        <v>298</v>
      </c>
      <c r="E385" s="12" t="s">
        <v>6086</v>
      </c>
      <c r="F385" s="6" t="s">
        <v>4178</v>
      </c>
      <c r="H385" s="6" t="s">
        <v>6087</v>
      </c>
      <c r="I385" s="6" t="s">
        <v>1473</v>
      </c>
      <c r="K385" s="6" t="s">
        <v>1469</v>
      </c>
      <c r="M385" t="s">
        <v>6088</v>
      </c>
      <c r="N385">
        <v>48.955183099999999</v>
      </c>
      <c r="O385">
        <v>14.4683522</v>
      </c>
    </row>
    <row r="386" spans="1:36">
      <c r="A386" s="6">
        <v>403</v>
      </c>
      <c r="B386" s="6" t="s">
        <v>6089</v>
      </c>
      <c r="C386" s="6" t="s">
        <v>1469</v>
      </c>
      <c r="D386" s="6" t="s">
        <v>298</v>
      </c>
      <c r="E386" s="12" t="s">
        <v>6090</v>
      </c>
      <c r="F386" s="6" t="s">
        <v>4178</v>
      </c>
      <c r="H386" s="6" t="s">
        <v>6091</v>
      </c>
      <c r="I386" s="6" t="s">
        <v>1473</v>
      </c>
      <c r="J386" s="6"/>
      <c r="K386" s="6" t="s">
        <v>1469</v>
      </c>
      <c r="M386" t="s">
        <v>6092</v>
      </c>
      <c r="N386">
        <v>48.9730572</v>
      </c>
      <c r="O386">
        <v>14.47428</v>
      </c>
    </row>
    <row r="387" spans="1:36">
      <c r="A387" s="6">
        <v>404</v>
      </c>
      <c r="B387" s="6" t="s">
        <v>6093</v>
      </c>
      <c r="C387" s="6" t="s">
        <v>3845</v>
      </c>
      <c r="D387" s="6" t="s">
        <v>622</v>
      </c>
      <c r="E387" s="12" t="s">
        <v>6094</v>
      </c>
      <c r="F387" s="6" t="s">
        <v>4170</v>
      </c>
      <c r="H387" t="s">
        <v>6095</v>
      </c>
      <c r="I387" t="s">
        <v>3850</v>
      </c>
      <c r="K387" s="6" t="s">
        <v>6096</v>
      </c>
      <c r="M387" t="s">
        <v>6097</v>
      </c>
      <c r="N387">
        <v>49.473191700000001</v>
      </c>
      <c r="O387">
        <v>17.111946700000001</v>
      </c>
    </row>
    <row r="388" spans="1:36">
      <c r="A388" s="6">
        <v>405</v>
      </c>
      <c r="B388" s="6" t="s">
        <v>6098</v>
      </c>
      <c r="C388" s="6" t="s">
        <v>214</v>
      </c>
      <c r="D388" s="6" t="s">
        <v>6099</v>
      </c>
      <c r="E388" s="12" t="s">
        <v>6100</v>
      </c>
      <c r="F388" s="6" t="s">
        <v>4170</v>
      </c>
      <c r="G388" s="6" t="s">
        <v>6101</v>
      </c>
      <c r="H388" t="s">
        <v>6102</v>
      </c>
      <c r="I388" s="6" t="s">
        <v>219</v>
      </c>
      <c r="K388" s="6" t="s">
        <v>214</v>
      </c>
      <c r="M388" t="s">
        <v>6103</v>
      </c>
      <c r="N388">
        <v>49.294854999999998</v>
      </c>
      <c r="O388">
        <v>18.2454353</v>
      </c>
    </row>
    <row r="389" spans="1:36">
      <c r="A389" s="6">
        <v>406</v>
      </c>
      <c r="B389" s="6" t="s">
        <v>6104</v>
      </c>
      <c r="C389" s="6" t="s">
        <v>1487</v>
      </c>
      <c r="D389" s="6" t="s">
        <v>1589</v>
      </c>
      <c r="E389" s="12" t="s">
        <v>6105</v>
      </c>
      <c r="F389" s="6" t="s">
        <v>4170</v>
      </c>
      <c r="G389" s="6"/>
      <c r="H389" s="6"/>
      <c r="I389" s="6" t="s">
        <v>6106</v>
      </c>
      <c r="J389" s="6" t="s">
        <v>5257</v>
      </c>
      <c r="K389" s="6" t="s">
        <v>1487</v>
      </c>
      <c r="L389" s="6"/>
      <c r="M389" s="6" t="s">
        <v>6107</v>
      </c>
      <c r="N389" s="28">
        <v>49.1597814</v>
      </c>
      <c r="O389" s="28">
        <v>16.726245800000001</v>
      </c>
      <c r="P389" s="6"/>
      <c r="Q389" s="6"/>
      <c r="R389" s="6"/>
      <c r="S389" s="6"/>
      <c r="T389" s="6"/>
      <c r="U389" s="6"/>
      <c r="V389" s="6"/>
      <c r="W389" s="6"/>
      <c r="X389" s="6"/>
    </row>
    <row r="390" spans="1:36">
      <c r="A390" s="6">
        <v>407</v>
      </c>
      <c r="B390" s="6" t="s">
        <v>6108</v>
      </c>
      <c r="C390" s="6" t="s">
        <v>3852</v>
      </c>
      <c r="D390" s="6" t="s">
        <v>4215</v>
      </c>
      <c r="E390" s="12" t="s">
        <v>6109</v>
      </c>
      <c r="F390" s="6" t="s">
        <v>4150</v>
      </c>
      <c r="G390" s="6" t="s">
        <v>6110</v>
      </c>
      <c r="I390" s="6" t="s">
        <v>3856</v>
      </c>
      <c r="K390" s="6" t="s">
        <v>3852</v>
      </c>
      <c r="M390" s="6" t="s">
        <v>6111</v>
      </c>
      <c r="N390">
        <v>50.214099699999998</v>
      </c>
      <c r="O390">
        <v>16.551766099999998</v>
      </c>
      <c r="Y390" s="6"/>
      <c r="Z390" s="6"/>
      <c r="AA390" s="6"/>
      <c r="AB390" s="6"/>
      <c r="AC390" s="6"/>
      <c r="AD390" s="6"/>
      <c r="AE390" s="6"/>
      <c r="AF390" s="6"/>
      <c r="AG390" s="6"/>
      <c r="AH390" s="6"/>
      <c r="AI390" s="6"/>
      <c r="AJ390" s="6"/>
    </row>
    <row r="391" spans="1:36">
      <c r="A391" s="6">
        <v>408</v>
      </c>
      <c r="B391" s="6" t="s">
        <v>698</v>
      </c>
      <c r="C391" s="6" t="s">
        <v>698</v>
      </c>
      <c r="D391" s="6" t="s">
        <v>108</v>
      </c>
      <c r="E391" s="12" t="s">
        <v>6113</v>
      </c>
      <c r="F391" s="6" t="s">
        <v>4170</v>
      </c>
      <c r="H391" s="6" t="s">
        <v>6114</v>
      </c>
      <c r="I391" s="6" t="s">
        <v>703</v>
      </c>
      <c r="K391" s="6" t="s">
        <v>698</v>
      </c>
      <c r="M391" s="6" t="s">
        <v>6115</v>
      </c>
      <c r="N391">
        <v>50.686019999999999</v>
      </c>
      <c r="O391">
        <v>14.537190600000001</v>
      </c>
      <c r="Y391" s="6"/>
      <c r="Z391" s="6"/>
      <c r="AA391" s="6"/>
      <c r="AB391" s="6"/>
      <c r="AC391" s="6"/>
      <c r="AD391" s="6"/>
      <c r="AE391" s="6"/>
      <c r="AF391" s="6"/>
      <c r="AG391" s="6"/>
      <c r="AH391" s="6"/>
      <c r="AI391" s="6"/>
      <c r="AJ391" s="6"/>
    </row>
    <row r="392" spans="1:36">
      <c r="A392" s="6">
        <v>409</v>
      </c>
      <c r="B392" s="6" t="s">
        <v>6116</v>
      </c>
      <c r="C392" s="6" t="s">
        <v>3176</v>
      </c>
      <c r="D392" s="6" t="s">
        <v>555</v>
      </c>
      <c r="E392" s="12" t="s">
        <v>6117</v>
      </c>
      <c r="F392" s="6" t="s">
        <v>4170</v>
      </c>
      <c r="G392" s="10" t="s">
        <v>6118</v>
      </c>
      <c r="H392" s="10" t="s">
        <v>6119</v>
      </c>
      <c r="I392" s="6" t="s">
        <v>3178</v>
      </c>
      <c r="K392" s="6" t="s">
        <v>3176</v>
      </c>
      <c r="M392" t="s">
        <v>6120</v>
      </c>
      <c r="N392">
        <v>48.858722499999999</v>
      </c>
      <c r="O392">
        <v>16.053491900000001</v>
      </c>
    </row>
    <row r="393" spans="1:36">
      <c r="A393" s="6">
        <v>410</v>
      </c>
      <c r="B393" s="6" t="s">
        <v>6121</v>
      </c>
      <c r="C393" s="6" t="s">
        <v>3176</v>
      </c>
      <c r="D393" s="6" t="s">
        <v>555</v>
      </c>
      <c r="E393" s="12" t="s">
        <v>6122</v>
      </c>
      <c r="F393" s="6" t="s">
        <v>4170</v>
      </c>
      <c r="G393" s="10" t="s">
        <v>6123</v>
      </c>
      <c r="H393" s="10" t="s">
        <v>6124</v>
      </c>
      <c r="I393" s="6" t="s">
        <v>3178</v>
      </c>
      <c r="J393" s="6" t="s">
        <v>6125</v>
      </c>
      <c r="K393" s="6" t="s">
        <v>3176</v>
      </c>
      <c r="M393" s="6" t="s">
        <v>6126</v>
      </c>
      <c r="N393">
        <v>48.855226100000003</v>
      </c>
      <c r="O393">
        <v>16.042932799999999</v>
      </c>
    </row>
    <row r="394" spans="1:36">
      <c r="A394" s="6">
        <v>411</v>
      </c>
      <c r="B394" s="6" t="s">
        <v>6127</v>
      </c>
      <c r="C394" s="6" t="s">
        <v>653</v>
      </c>
      <c r="D394" s="6" t="s">
        <v>655</v>
      </c>
      <c r="E394" s="12" t="s">
        <v>6128</v>
      </c>
      <c r="F394" s="6" t="s">
        <v>4170</v>
      </c>
      <c r="H394" s="6" t="s">
        <v>6129</v>
      </c>
      <c r="I394" s="6" t="s">
        <v>657</v>
      </c>
      <c r="J394" s="6" t="s">
        <v>6130</v>
      </c>
      <c r="K394" s="12" t="s">
        <v>6131</v>
      </c>
      <c r="M394" t="s">
        <v>6133</v>
      </c>
      <c r="N394">
        <v>50.512090800000003</v>
      </c>
      <c r="O394">
        <v>13.6306469</v>
      </c>
    </row>
    <row r="395" spans="1:36">
      <c r="A395" s="6">
        <v>412</v>
      </c>
      <c r="B395" s="6" t="s">
        <v>6135</v>
      </c>
      <c r="D395" s="6" t="s">
        <v>6136</v>
      </c>
      <c r="E395" s="12" t="s">
        <v>6137</v>
      </c>
      <c r="F395" s="6" t="s">
        <v>4111</v>
      </c>
      <c r="H395" s="6" t="s">
        <v>6138</v>
      </c>
      <c r="I395" t="s">
        <v>6139</v>
      </c>
      <c r="K395" s="12" t="s">
        <v>4115</v>
      </c>
      <c r="M395" t="s">
        <v>6140</v>
      </c>
      <c r="N395">
        <v>50.062438299999997</v>
      </c>
      <c r="O395">
        <v>15.7582231</v>
      </c>
    </row>
    <row r="396" spans="1:36">
      <c r="A396" s="6">
        <v>413</v>
      </c>
      <c r="B396" s="6" t="s">
        <v>6141</v>
      </c>
      <c r="C396" s="6" t="s">
        <v>3660</v>
      </c>
      <c r="D396" s="6" t="s">
        <v>3662</v>
      </c>
      <c r="E396" s="12" t="s">
        <v>6142</v>
      </c>
      <c r="F396" s="6" t="s">
        <v>4170</v>
      </c>
      <c r="H396" s="6" t="s">
        <v>6143</v>
      </c>
      <c r="I396" s="6" t="s">
        <v>3665</v>
      </c>
      <c r="K396" s="6" t="s">
        <v>3660</v>
      </c>
      <c r="M396" t="s">
        <v>6144</v>
      </c>
      <c r="N396">
        <v>49.714967799999997</v>
      </c>
      <c r="O396">
        <v>18.053571399999999</v>
      </c>
    </row>
    <row r="397" spans="1:36">
      <c r="A397" s="6">
        <v>414</v>
      </c>
      <c r="B397" s="6" t="s">
        <v>3865</v>
      </c>
      <c r="C397" s="6" t="s">
        <v>3865</v>
      </c>
      <c r="D397" s="6" t="s">
        <v>4382</v>
      </c>
      <c r="E397" s="12" t="s">
        <v>6145</v>
      </c>
      <c r="F397" s="6" t="s">
        <v>4150</v>
      </c>
      <c r="H397" s="6" t="s">
        <v>6146</v>
      </c>
      <c r="I397" s="6" t="s">
        <v>3868</v>
      </c>
      <c r="K397" s="6" t="s">
        <v>3865</v>
      </c>
      <c r="M397" t="s">
        <v>6147</v>
      </c>
      <c r="N397">
        <v>50.071878300000002</v>
      </c>
      <c r="O397">
        <v>14.4502322</v>
      </c>
    </row>
    <row r="398" spans="1:36">
      <c r="A398" s="6">
        <v>415</v>
      </c>
      <c r="B398" s="6" t="s">
        <v>6148</v>
      </c>
      <c r="C398" s="6" t="s">
        <v>4180</v>
      </c>
      <c r="D398" s="6" t="s">
        <v>1251</v>
      </c>
      <c r="E398" s="12" t="s">
        <v>6149</v>
      </c>
      <c r="F398" s="6" t="s">
        <v>4178</v>
      </c>
      <c r="G398" s="6"/>
      <c r="H398" s="6"/>
      <c r="I398" s="6" t="s">
        <v>1302</v>
      </c>
      <c r="J398" s="6"/>
      <c r="K398" s="6" t="s">
        <v>4180</v>
      </c>
      <c r="L398" s="6"/>
      <c r="M398" s="6" t="s">
        <v>6150</v>
      </c>
      <c r="N398" s="6">
        <v>50.407557799999999</v>
      </c>
      <c r="O398" s="6">
        <v>16.157301400000001</v>
      </c>
      <c r="P398" s="6"/>
      <c r="Q398" s="6"/>
      <c r="R398" s="6"/>
      <c r="S398" s="6"/>
      <c r="T398" s="6"/>
      <c r="U398" s="6"/>
      <c r="V398" s="6"/>
      <c r="W398" s="6"/>
      <c r="X398" s="6"/>
    </row>
    <row r="399" spans="1:36">
      <c r="A399" s="6">
        <v>416</v>
      </c>
      <c r="B399" s="6" t="s">
        <v>6151</v>
      </c>
      <c r="C399" s="6" t="s">
        <v>4180</v>
      </c>
      <c r="D399" s="6" t="s">
        <v>6152</v>
      </c>
      <c r="E399" s="12" t="s">
        <v>6153</v>
      </c>
      <c r="F399" s="6" t="s">
        <v>4178</v>
      </c>
      <c r="G399" s="6" t="s">
        <v>6154</v>
      </c>
      <c r="H399" s="6" t="s">
        <v>6155</v>
      </c>
      <c r="I399" s="6" t="s">
        <v>1302</v>
      </c>
      <c r="K399" s="6" t="s">
        <v>4180</v>
      </c>
      <c r="M399" t="s">
        <v>6156</v>
      </c>
      <c r="N399">
        <v>50.379219200000001</v>
      </c>
      <c r="O399">
        <v>16.1852783</v>
      </c>
    </row>
    <row r="400" spans="1:36">
      <c r="A400" s="6">
        <v>417</v>
      </c>
      <c r="B400" s="6" t="s">
        <v>6157</v>
      </c>
      <c r="C400" s="6" t="s">
        <v>4180</v>
      </c>
      <c r="D400" s="6" t="s">
        <v>6158</v>
      </c>
      <c r="E400" s="12" t="s">
        <v>6159</v>
      </c>
      <c r="F400" s="6" t="s">
        <v>4178</v>
      </c>
      <c r="G400" s="6" t="s">
        <v>6160</v>
      </c>
      <c r="H400" s="6" t="s">
        <v>6161</v>
      </c>
      <c r="I400" s="6" t="s">
        <v>1302</v>
      </c>
      <c r="J400" s="6"/>
      <c r="K400" s="6" t="s">
        <v>4180</v>
      </c>
      <c r="M400" t="s">
        <v>6162</v>
      </c>
      <c r="N400">
        <v>50.3973783</v>
      </c>
      <c r="O400">
        <v>16.154435800000002</v>
      </c>
    </row>
    <row r="401" spans="1:36">
      <c r="A401" s="6">
        <v>418</v>
      </c>
      <c r="B401" s="6" t="s">
        <v>6163</v>
      </c>
      <c r="C401" s="6" t="s">
        <v>4180</v>
      </c>
      <c r="D401" s="6" t="s">
        <v>1251</v>
      </c>
      <c r="E401" s="12" t="s">
        <v>6164</v>
      </c>
      <c r="F401" s="6" t="s">
        <v>4178</v>
      </c>
      <c r="G401" s="6" t="s">
        <v>6165</v>
      </c>
      <c r="H401" s="6" t="s">
        <v>6166</v>
      </c>
      <c r="I401" s="6" t="s">
        <v>1302</v>
      </c>
      <c r="J401" s="6"/>
      <c r="K401" s="6" t="s">
        <v>4180</v>
      </c>
      <c r="M401" t="s">
        <v>6167</v>
      </c>
      <c r="N401">
        <v>50.417221099999999</v>
      </c>
      <c r="O401">
        <v>16.162113300000001</v>
      </c>
    </row>
    <row r="402" spans="1:36">
      <c r="A402" s="6">
        <v>419</v>
      </c>
      <c r="B402" s="6" t="s">
        <v>6168</v>
      </c>
      <c r="C402" s="6" t="s">
        <v>4180</v>
      </c>
      <c r="D402" s="6" t="s">
        <v>1251</v>
      </c>
      <c r="E402" s="12" t="s">
        <v>6169</v>
      </c>
      <c r="F402" s="6" t="s">
        <v>4178</v>
      </c>
      <c r="I402" s="6" t="s">
        <v>1302</v>
      </c>
      <c r="J402" s="6"/>
      <c r="K402" s="6" t="s">
        <v>4180</v>
      </c>
      <c r="M402" t="s">
        <v>6170</v>
      </c>
      <c r="N402">
        <v>50.412574999999997</v>
      </c>
      <c r="O402">
        <v>16.168670599999999</v>
      </c>
      <c r="Y402" s="6"/>
      <c r="Z402" s="6"/>
      <c r="AA402" s="6"/>
      <c r="AB402" s="6"/>
      <c r="AC402" s="6"/>
      <c r="AD402" s="6"/>
      <c r="AE402" s="6"/>
      <c r="AF402" s="6"/>
      <c r="AG402" s="6"/>
      <c r="AH402" s="6"/>
      <c r="AI402" s="6"/>
      <c r="AJ402" s="6"/>
    </row>
    <row r="403" spans="1:36">
      <c r="A403" s="6">
        <v>420</v>
      </c>
      <c r="B403" s="6" t="s">
        <v>6171</v>
      </c>
      <c r="C403" s="6" t="s">
        <v>4180</v>
      </c>
      <c r="D403" s="6" t="s">
        <v>1251</v>
      </c>
      <c r="E403" s="12" t="s">
        <v>6172</v>
      </c>
      <c r="F403" s="6" t="s">
        <v>4178</v>
      </c>
      <c r="I403" s="6" t="s">
        <v>1302</v>
      </c>
      <c r="J403" s="6"/>
      <c r="K403" s="6" t="s">
        <v>4180</v>
      </c>
      <c r="M403" t="s">
        <v>6173</v>
      </c>
      <c r="N403">
        <v>50.416483100000001</v>
      </c>
      <c r="O403">
        <v>16.1707097</v>
      </c>
      <c r="Y403" s="6"/>
      <c r="Z403" s="6"/>
      <c r="AA403" s="6"/>
      <c r="AB403" s="6"/>
      <c r="AC403" s="6"/>
      <c r="AD403" s="6"/>
      <c r="AE403" s="6"/>
      <c r="AF403" s="6"/>
      <c r="AG403" s="6"/>
      <c r="AH403" s="6"/>
      <c r="AI403" s="6"/>
      <c r="AJ403" s="6"/>
    </row>
    <row r="404" spans="1:36">
      <c r="A404" s="6">
        <v>421</v>
      </c>
      <c r="B404" s="6" t="s">
        <v>6174</v>
      </c>
      <c r="C404" s="6" t="s">
        <v>4180</v>
      </c>
      <c r="D404" s="6" t="s">
        <v>2091</v>
      </c>
      <c r="E404" s="12" t="s">
        <v>6175</v>
      </c>
      <c r="F404" s="6" t="s">
        <v>4178</v>
      </c>
      <c r="H404" s="6" t="s">
        <v>6176</v>
      </c>
      <c r="I404" s="6" t="s">
        <v>1302</v>
      </c>
      <c r="J404" s="6"/>
      <c r="K404" s="6" t="s">
        <v>4180</v>
      </c>
      <c r="M404" t="s">
        <v>6177</v>
      </c>
      <c r="N404">
        <v>49.492571699999999</v>
      </c>
      <c r="O404">
        <v>16.653204200000001</v>
      </c>
    </row>
    <row r="405" spans="1:36">
      <c r="A405" s="6">
        <v>422</v>
      </c>
      <c r="B405" s="6" t="s">
        <v>6178</v>
      </c>
      <c r="C405" s="6" t="s">
        <v>6179</v>
      </c>
      <c r="D405" s="6" t="s">
        <v>6180</v>
      </c>
      <c r="E405" s="12" t="s">
        <v>6181</v>
      </c>
      <c r="F405" s="6" t="s">
        <v>4178</v>
      </c>
      <c r="G405" s="6" t="s">
        <v>6182</v>
      </c>
      <c r="H405" s="6" t="s">
        <v>6183</v>
      </c>
      <c r="I405" t="s">
        <v>6184</v>
      </c>
      <c r="K405" s="6" t="s">
        <v>6179</v>
      </c>
      <c r="M405" t="s">
        <v>6185</v>
      </c>
      <c r="N405">
        <v>49.201456100000001</v>
      </c>
      <c r="O405">
        <v>17.545678899999999</v>
      </c>
    </row>
    <row r="406" spans="1:36">
      <c r="A406" s="6">
        <v>423</v>
      </c>
      <c r="B406" s="6" t="s">
        <v>6186</v>
      </c>
      <c r="C406" s="6" t="s">
        <v>6179</v>
      </c>
      <c r="D406" s="6" t="s">
        <v>1556</v>
      </c>
      <c r="E406" s="12" t="s">
        <v>6187</v>
      </c>
      <c r="F406" s="6" t="s">
        <v>4178</v>
      </c>
      <c r="G406" s="6" t="s">
        <v>6188</v>
      </c>
      <c r="H406" s="6" t="s">
        <v>6189</v>
      </c>
      <c r="I406" t="s">
        <v>6184</v>
      </c>
      <c r="K406" s="6" t="s">
        <v>6179</v>
      </c>
      <c r="M406" t="s">
        <v>6190</v>
      </c>
      <c r="N406">
        <v>50.061937800000003</v>
      </c>
      <c r="O406">
        <v>14.409632500000001</v>
      </c>
    </row>
    <row r="407" spans="1:36">
      <c r="A407" s="6">
        <v>424</v>
      </c>
      <c r="B407" t="s">
        <v>6191</v>
      </c>
      <c r="C407" s="6" t="s">
        <v>297</v>
      </c>
      <c r="D407" s="6" t="s">
        <v>298</v>
      </c>
      <c r="E407" s="12" t="s">
        <v>6192</v>
      </c>
      <c r="F407" s="6" t="s">
        <v>4178</v>
      </c>
      <c r="G407" s="6" t="s">
        <v>6193</v>
      </c>
      <c r="I407" s="6" t="s">
        <v>300</v>
      </c>
      <c r="K407" s="6" t="s">
        <v>297</v>
      </c>
      <c r="M407" t="s">
        <v>6194</v>
      </c>
      <c r="N407">
        <v>48.9759064</v>
      </c>
      <c r="O407">
        <v>14.473610000000001</v>
      </c>
    </row>
    <row r="408" spans="1:36">
      <c r="A408" s="6">
        <v>425</v>
      </c>
      <c r="B408" s="6" t="s">
        <v>6195</v>
      </c>
      <c r="C408" s="6" t="s">
        <v>297</v>
      </c>
      <c r="D408" s="6" t="s">
        <v>767</v>
      </c>
      <c r="E408" s="12" t="s">
        <v>6196</v>
      </c>
      <c r="F408" s="6" t="s">
        <v>4178</v>
      </c>
      <c r="G408" s="6" t="s">
        <v>6197</v>
      </c>
      <c r="H408" s="6" t="s">
        <v>6198</v>
      </c>
      <c r="I408" s="6" t="s">
        <v>300</v>
      </c>
      <c r="J408" s="6"/>
      <c r="K408" s="6" t="s">
        <v>297</v>
      </c>
      <c r="M408" t="s">
        <v>6199</v>
      </c>
      <c r="N408">
        <v>50.535371400000002</v>
      </c>
      <c r="O408">
        <v>14.1300422</v>
      </c>
      <c r="Y408" s="6"/>
      <c r="Z408" s="6"/>
      <c r="AA408" s="6"/>
      <c r="AB408" s="6"/>
      <c r="AC408" s="6"/>
      <c r="AD408" s="6"/>
      <c r="AE408" s="6"/>
      <c r="AF408" s="6"/>
      <c r="AG408" s="6"/>
      <c r="AH408" s="6"/>
      <c r="AI408" s="6"/>
      <c r="AJ408" s="6"/>
    </row>
    <row r="409" spans="1:36">
      <c r="A409" s="6">
        <v>426</v>
      </c>
      <c r="B409" s="6" t="s">
        <v>6200</v>
      </c>
      <c r="C409" s="6" t="s">
        <v>297</v>
      </c>
      <c r="D409" s="6" t="s">
        <v>674</v>
      </c>
      <c r="E409" s="12" t="s">
        <v>6201</v>
      </c>
      <c r="F409" s="6" t="s">
        <v>4178</v>
      </c>
      <c r="H409" t="s">
        <v>6202</v>
      </c>
      <c r="I409" s="6" t="s">
        <v>300</v>
      </c>
      <c r="J409" s="6"/>
      <c r="K409" s="6" t="s">
        <v>297</v>
      </c>
      <c r="M409" t="s">
        <v>6203</v>
      </c>
      <c r="N409">
        <v>49.4137269</v>
      </c>
      <c r="O409">
        <v>14.6588911</v>
      </c>
    </row>
    <row r="410" spans="1:36">
      <c r="A410" s="6">
        <v>427</v>
      </c>
      <c r="B410" s="6" t="s">
        <v>6204</v>
      </c>
      <c r="C410" s="6" t="s">
        <v>297</v>
      </c>
      <c r="D410" s="6" t="s">
        <v>819</v>
      </c>
      <c r="E410" s="12" t="s">
        <v>6205</v>
      </c>
      <c r="F410" s="6" t="s">
        <v>4178</v>
      </c>
      <c r="G410" s="6" t="s">
        <v>6206</v>
      </c>
      <c r="H410" s="6" t="s">
        <v>6207</v>
      </c>
      <c r="I410" s="6" t="s">
        <v>300</v>
      </c>
      <c r="J410" s="6"/>
      <c r="K410" s="6" t="s">
        <v>297</v>
      </c>
      <c r="M410" t="s">
        <v>6208</v>
      </c>
      <c r="N410">
        <v>48.852193900000003</v>
      </c>
      <c r="O410">
        <v>17.131378600000001</v>
      </c>
    </row>
    <row r="411" spans="1:36">
      <c r="A411" s="6">
        <v>428</v>
      </c>
      <c r="B411" s="6" t="s">
        <v>6209</v>
      </c>
      <c r="C411" s="6" t="s">
        <v>297</v>
      </c>
      <c r="D411" s="6" t="s">
        <v>1838</v>
      </c>
      <c r="E411" s="12" t="s">
        <v>6210</v>
      </c>
      <c r="F411" s="6" t="s">
        <v>4178</v>
      </c>
      <c r="G411" s="6" t="s">
        <v>6211</v>
      </c>
      <c r="H411" s="6" t="s">
        <v>6212</v>
      </c>
      <c r="I411" s="6" t="s">
        <v>300</v>
      </c>
      <c r="J411" s="6"/>
      <c r="K411" s="6" t="s">
        <v>297</v>
      </c>
      <c r="M411" t="s">
        <v>6213</v>
      </c>
      <c r="N411">
        <v>50.028972199999998</v>
      </c>
      <c r="O411">
        <v>15.200677199999999</v>
      </c>
      <c r="Y411" s="6"/>
      <c r="Z411" s="6"/>
      <c r="AA411" s="6"/>
      <c r="AB411" s="6"/>
      <c r="AC411" s="6"/>
      <c r="AD411" s="6"/>
      <c r="AE411" s="6"/>
      <c r="AF411" s="6"/>
      <c r="AG411" s="6"/>
      <c r="AH411" s="6"/>
      <c r="AI411" s="6"/>
      <c r="AJ411" s="6"/>
    </row>
    <row r="412" spans="1:36">
      <c r="A412" s="6">
        <v>429</v>
      </c>
      <c r="B412" s="6" t="s">
        <v>6214</v>
      </c>
      <c r="C412" s="6" t="s">
        <v>6179</v>
      </c>
      <c r="D412" s="6" t="s">
        <v>1140</v>
      </c>
      <c r="E412" s="12" t="s">
        <v>6215</v>
      </c>
      <c r="F412" s="6" t="s">
        <v>4178</v>
      </c>
      <c r="H412" s="6" t="s">
        <v>6216</v>
      </c>
      <c r="I412" s="6" t="s">
        <v>6184</v>
      </c>
      <c r="K412" s="6" t="s">
        <v>6179</v>
      </c>
      <c r="M412" t="s">
        <v>6217</v>
      </c>
      <c r="N412">
        <v>49.745128600000001</v>
      </c>
      <c r="O412">
        <v>13.376459199999999</v>
      </c>
    </row>
    <row r="413" spans="1:36">
      <c r="A413" s="6">
        <v>430</v>
      </c>
      <c r="B413" s="10" t="s">
        <v>6218</v>
      </c>
      <c r="C413" s="6" t="s">
        <v>6219</v>
      </c>
      <c r="D413" s="6" t="s">
        <v>6220</v>
      </c>
      <c r="E413" s="12" t="s">
        <v>6221</v>
      </c>
      <c r="F413" s="6" t="s">
        <v>4170</v>
      </c>
      <c r="H413" s="6" t="s">
        <v>6222</v>
      </c>
      <c r="I413" t="s">
        <v>6223</v>
      </c>
      <c r="J413" t="s">
        <v>5994</v>
      </c>
      <c r="K413" s="6" t="s">
        <v>6219</v>
      </c>
      <c r="M413" s="6" t="s">
        <v>6224</v>
      </c>
      <c r="N413">
        <v>48.903711399999999</v>
      </c>
      <c r="O413">
        <v>17.313107800000001</v>
      </c>
    </row>
    <row r="414" spans="1:36">
      <c r="A414" s="6">
        <v>431</v>
      </c>
      <c r="B414" s="6" t="s">
        <v>6225</v>
      </c>
      <c r="C414" s="6" t="s">
        <v>6219</v>
      </c>
      <c r="D414" s="6" t="s">
        <v>6226</v>
      </c>
      <c r="E414" s="12" t="s">
        <v>6227</v>
      </c>
      <c r="F414" s="6" t="s">
        <v>4170</v>
      </c>
      <c r="H414" s="6" t="s">
        <v>6228</v>
      </c>
      <c r="I414" t="s">
        <v>6223</v>
      </c>
      <c r="J414" t="s">
        <v>5994</v>
      </c>
      <c r="K414" s="6" t="s">
        <v>6219</v>
      </c>
      <c r="M414" t="s">
        <v>6229</v>
      </c>
      <c r="N414">
        <v>48.948704399999997</v>
      </c>
      <c r="O414">
        <v>17.000837199999999</v>
      </c>
      <c r="Z414" s="9" t="s">
        <v>47</v>
      </c>
    </row>
    <row r="415" spans="1:36">
      <c r="A415" s="6">
        <v>432</v>
      </c>
      <c r="B415" t="s">
        <v>6230</v>
      </c>
      <c r="C415" s="6" t="s">
        <v>6231</v>
      </c>
      <c r="D415" t="s">
        <v>4158</v>
      </c>
      <c r="E415" s="12" t="s">
        <v>6232</v>
      </c>
      <c r="F415" s="6" t="s">
        <v>4170</v>
      </c>
      <c r="G415" t="s">
        <v>6233</v>
      </c>
      <c r="H415" t="s">
        <v>6234</v>
      </c>
      <c r="I415" t="s">
        <v>6235</v>
      </c>
      <c r="J415" t="s">
        <v>6236</v>
      </c>
      <c r="K415" s="12" t="s">
        <v>6237</v>
      </c>
      <c r="M415" t="s">
        <v>6238</v>
      </c>
      <c r="N415">
        <v>50.096017000000003</v>
      </c>
      <c r="O415">
        <v>14.447922999999999</v>
      </c>
    </row>
    <row r="416" spans="1:36">
      <c r="A416" s="6">
        <v>433</v>
      </c>
      <c r="B416" t="s">
        <v>6239</v>
      </c>
      <c r="C416" t="s">
        <v>3870</v>
      </c>
      <c r="D416" t="s">
        <v>4738</v>
      </c>
      <c r="E416" s="12" t="s">
        <v>6240</v>
      </c>
      <c r="F416" s="6" t="s">
        <v>4170</v>
      </c>
      <c r="H416" t="s">
        <v>6241</v>
      </c>
      <c r="I416" t="s">
        <v>3874</v>
      </c>
      <c r="K416" s="6" t="s">
        <v>3870</v>
      </c>
      <c r="M416" t="s">
        <v>6242</v>
      </c>
      <c r="N416">
        <v>50.089565299999997</v>
      </c>
      <c r="O416">
        <v>14.416314699999999</v>
      </c>
    </row>
    <row r="417" spans="1:36">
      <c r="A417" s="6">
        <v>434</v>
      </c>
      <c r="B417" t="s">
        <v>6243</v>
      </c>
      <c r="C417" t="s">
        <v>6244</v>
      </c>
      <c r="D417" t="s">
        <v>1785</v>
      </c>
      <c r="E417" s="12" t="s">
        <v>6245</v>
      </c>
      <c r="F417" s="6" t="s">
        <v>4170</v>
      </c>
      <c r="H417" t="s">
        <v>6246</v>
      </c>
      <c r="I417" t="s">
        <v>6247</v>
      </c>
      <c r="J417" s="9" t="s">
        <v>5994</v>
      </c>
      <c r="K417" s="6" t="s">
        <v>6244</v>
      </c>
      <c r="M417" t="s">
        <v>6248</v>
      </c>
      <c r="N417">
        <v>50.085056899999998</v>
      </c>
      <c r="O417">
        <v>14.4517642</v>
      </c>
    </row>
    <row r="418" spans="1:36">
      <c r="A418" s="6">
        <v>435</v>
      </c>
      <c r="B418" t="s">
        <v>6249</v>
      </c>
      <c r="D418" t="s">
        <v>810</v>
      </c>
      <c r="E418" s="9" t="s">
        <v>6250</v>
      </c>
      <c r="F418" t="s">
        <v>4111</v>
      </c>
      <c r="H418" t="s">
        <v>6251</v>
      </c>
      <c r="I418" t="s">
        <v>6252</v>
      </c>
      <c r="K418" s="12" t="s">
        <v>4115</v>
      </c>
      <c r="M418" t="s">
        <v>6253</v>
      </c>
      <c r="N418">
        <v>50.415618899999998</v>
      </c>
      <c r="O418">
        <v>14.908025800000001</v>
      </c>
      <c r="Y418" s="6"/>
      <c r="Z418" s="6"/>
      <c r="AA418" s="6"/>
      <c r="AB418" s="6"/>
      <c r="AC418" s="6"/>
      <c r="AD418" s="6"/>
      <c r="AE418" s="6"/>
      <c r="AF418" s="6"/>
      <c r="AG418" s="6"/>
      <c r="AH418" s="6"/>
      <c r="AI418" s="6"/>
      <c r="AJ418" s="6"/>
    </row>
    <row r="419" spans="1:36">
      <c r="A419" s="6">
        <v>436</v>
      </c>
      <c r="B419" t="s">
        <v>6254</v>
      </c>
      <c r="C419" s="6" t="s">
        <v>4424</v>
      </c>
      <c r="D419" t="s">
        <v>72</v>
      </c>
      <c r="E419" s="12" t="s">
        <v>6255</v>
      </c>
      <c r="F419" s="6" t="s">
        <v>4178</v>
      </c>
      <c r="G419" t="s">
        <v>6256</v>
      </c>
      <c r="H419" t="s">
        <v>6257</v>
      </c>
      <c r="I419" s="6" t="s">
        <v>1772</v>
      </c>
      <c r="J419" t="s">
        <v>6258</v>
      </c>
      <c r="K419" s="6" t="s">
        <v>4424</v>
      </c>
      <c r="M419" t="s">
        <v>6259</v>
      </c>
      <c r="N419">
        <v>50.1392922</v>
      </c>
      <c r="O419">
        <v>14.072593100000001</v>
      </c>
      <c r="Y419" s="6"/>
      <c r="Z419" s="6"/>
      <c r="AA419" s="6"/>
      <c r="AB419" s="6"/>
      <c r="AC419" s="6"/>
      <c r="AD419" s="6"/>
      <c r="AE419" s="6"/>
      <c r="AF419" s="6"/>
      <c r="AG419" s="6"/>
      <c r="AH419" s="6"/>
      <c r="AI419" s="6"/>
      <c r="AJ419" s="6"/>
    </row>
    <row r="420" spans="1:36">
      <c r="A420" s="6">
        <v>437</v>
      </c>
      <c r="B420" s="9" t="s">
        <v>6260</v>
      </c>
      <c r="C420" t="s">
        <v>3878</v>
      </c>
      <c r="D420" t="s">
        <v>3880</v>
      </c>
      <c r="E420" s="12" t="s">
        <v>3881</v>
      </c>
      <c r="F420" s="6" t="s">
        <v>4150</v>
      </c>
      <c r="K420" t="s">
        <v>3878</v>
      </c>
      <c r="M420" t="s">
        <v>6261</v>
      </c>
      <c r="N420">
        <v>50.010089399999998</v>
      </c>
      <c r="O420">
        <v>15.2922089</v>
      </c>
    </row>
    <row r="421" spans="1:36">
      <c r="A421" s="6">
        <v>438</v>
      </c>
      <c r="B421" t="s">
        <v>6263</v>
      </c>
      <c r="D421" t="s">
        <v>4382</v>
      </c>
      <c r="E421" s="9" t="s">
        <v>6264</v>
      </c>
      <c r="F421" t="s">
        <v>4111</v>
      </c>
      <c r="G421" t="s">
        <v>6265</v>
      </c>
      <c r="H421" t="s">
        <v>6266</v>
      </c>
      <c r="I421" t="s">
        <v>6267</v>
      </c>
      <c r="K421" s="12" t="s">
        <v>4115</v>
      </c>
      <c r="M421" t="s">
        <v>6268</v>
      </c>
      <c r="N421">
        <v>50.071364699999997</v>
      </c>
      <c r="O421">
        <v>14.4842564</v>
      </c>
    </row>
    <row r="422" spans="1:36">
      <c r="A422" s="6">
        <v>440</v>
      </c>
      <c r="B422" s="9" t="s">
        <v>6269</v>
      </c>
      <c r="C422" s="9" t="s">
        <v>2928</v>
      </c>
      <c r="D422" s="9" t="s">
        <v>1326</v>
      </c>
      <c r="E422" s="12" t="s">
        <v>6270</v>
      </c>
      <c r="F422" s="12" t="s">
        <v>4150</v>
      </c>
      <c r="G422" s="40" t="s">
        <v>6271</v>
      </c>
      <c r="H422" s="9" t="s">
        <v>6272</v>
      </c>
      <c r="I422" s="6" t="s">
        <v>2931</v>
      </c>
      <c r="K422" s="12" t="s">
        <v>2928</v>
      </c>
      <c r="M422" s="9" t="s">
        <v>6273</v>
      </c>
      <c r="N422" s="9">
        <v>49.872540299999997</v>
      </c>
      <c r="O422" s="9">
        <v>16.887028099999998</v>
      </c>
    </row>
    <row r="423" spans="1:36">
      <c r="A423" s="6">
        <v>441</v>
      </c>
      <c r="B423" s="12" t="s">
        <v>6274</v>
      </c>
      <c r="D423" t="s">
        <v>111</v>
      </c>
      <c r="E423" s="9" t="s">
        <v>112</v>
      </c>
      <c r="F423" t="s">
        <v>4111</v>
      </c>
      <c r="G423" s="15" t="s">
        <v>6275</v>
      </c>
      <c r="H423" s="15" t="s">
        <v>6276</v>
      </c>
      <c r="I423" s="6" t="s">
        <v>5338</v>
      </c>
      <c r="K423" s="12" t="s">
        <v>191</v>
      </c>
      <c r="M423" s="9" t="s">
        <v>6277</v>
      </c>
      <c r="N423" s="9">
        <v>49.838715800000003</v>
      </c>
      <c r="O423" s="9">
        <v>18.163020800000002</v>
      </c>
    </row>
    <row r="424" spans="1:36">
      <c r="A424" s="6">
        <v>442</v>
      </c>
      <c r="B424" s="9" t="s">
        <v>6278</v>
      </c>
      <c r="C424" s="6" t="s">
        <v>1521</v>
      </c>
      <c r="D424" s="9" t="s">
        <v>810</v>
      </c>
      <c r="E424" s="9" t="s">
        <v>6279</v>
      </c>
      <c r="F424" s="6" t="s">
        <v>4170</v>
      </c>
      <c r="G424" s="47" t="s">
        <v>6280</v>
      </c>
      <c r="H424" s="47" t="s">
        <v>6281</v>
      </c>
      <c r="I424" s="6" t="s">
        <v>1526</v>
      </c>
      <c r="J424" s="9" t="s">
        <v>6282</v>
      </c>
      <c r="K424" s="6" t="s">
        <v>1521</v>
      </c>
      <c r="M424" s="9" t="s">
        <v>6283</v>
      </c>
      <c r="N424" s="9">
        <v>50.411293100000002</v>
      </c>
      <c r="O424" s="9">
        <v>14.9063558</v>
      </c>
      <c r="Y424" s="6"/>
      <c r="Z424" s="6"/>
      <c r="AA424" s="6"/>
      <c r="AB424" s="6"/>
      <c r="AC424" s="6"/>
      <c r="AD424" s="6"/>
      <c r="AE424" s="6"/>
      <c r="AF424" s="6"/>
      <c r="AG424" s="6"/>
      <c r="AH424" s="6"/>
      <c r="AI424" s="6"/>
      <c r="AJ424" s="6"/>
    </row>
    <row r="425" spans="1:36">
      <c r="A425" s="6">
        <v>443</v>
      </c>
      <c r="B425" s="9" t="s">
        <v>6284</v>
      </c>
      <c r="C425" s="9" t="s">
        <v>3884</v>
      </c>
      <c r="D425" s="9" t="s">
        <v>3886</v>
      </c>
      <c r="E425" s="9" t="s">
        <v>3887</v>
      </c>
      <c r="F425" s="6" t="s">
        <v>4150</v>
      </c>
      <c r="G425" s="47" t="s">
        <v>3888</v>
      </c>
      <c r="H425" s="47" t="s">
        <v>3889</v>
      </c>
      <c r="I425" s="40" t="s">
        <v>3890</v>
      </c>
      <c r="J425" s="40" t="s">
        <v>6285</v>
      </c>
      <c r="K425" s="40" t="s">
        <v>3884</v>
      </c>
      <c r="M425" s="9" t="s">
        <v>6286</v>
      </c>
      <c r="N425" s="9">
        <v>50.724981700000001</v>
      </c>
      <c r="O425" s="9">
        <v>15.377559400000001</v>
      </c>
      <c r="Y425" s="6"/>
      <c r="Z425" s="6"/>
      <c r="AA425" s="6"/>
      <c r="AB425" s="6"/>
      <c r="AC425" s="6"/>
      <c r="AD425" s="6"/>
      <c r="AE425" s="6"/>
      <c r="AF425" s="6"/>
      <c r="AG425" s="6"/>
      <c r="AH425" s="6"/>
      <c r="AI425" s="6"/>
      <c r="AJ425" s="6"/>
    </row>
    <row r="426" spans="1:36">
      <c r="A426" s="6">
        <v>444</v>
      </c>
      <c r="B426" s="9" t="s">
        <v>6287</v>
      </c>
      <c r="C426" s="61" t="s">
        <v>355</v>
      </c>
      <c r="D426" s="9" t="s">
        <v>1140</v>
      </c>
      <c r="E426" s="9" t="s">
        <v>6288</v>
      </c>
      <c r="F426" s="6" t="s">
        <v>4150</v>
      </c>
      <c r="G426" s="47" t="s">
        <v>6289</v>
      </c>
      <c r="H426" s="47" t="s">
        <v>6290</v>
      </c>
      <c r="I426" s="73" t="s">
        <v>360</v>
      </c>
      <c r="J426" s="74"/>
      <c r="K426" s="75" t="s">
        <v>355</v>
      </c>
      <c r="M426" s="9" t="s">
        <v>6291</v>
      </c>
      <c r="N426" s="9">
        <v>49.732674199999998</v>
      </c>
      <c r="O426" s="9">
        <v>13.370446400000001</v>
      </c>
    </row>
    <row r="427" spans="1:36">
      <c r="A427" s="6">
        <v>445</v>
      </c>
      <c r="B427" s="9" t="s">
        <v>6292</v>
      </c>
      <c r="C427" s="12" t="s">
        <v>266</v>
      </c>
      <c r="D427" s="9" t="s">
        <v>268</v>
      </c>
      <c r="E427" s="9" t="s">
        <v>6293</v>
      </c>
      <c r="F427" s="6" t="s">
        <v>4150</v>
      </c>
      <c r="G427" s="47" t="s">
        <v>6294</v>
      </c>
      <c r="H427" s="47" t="s">
        <v>6295</v>
      </c>
      <c r="I427" s="73" t="s">
        <v>270</v>
      </c>
      <c r="J427" s="74"/>
      <c r="K427" s="67" t="s">
        <v>266</v>
      </c>
      <c r="M427" s="9" t="s">
        <v>6296</v>
      </c>
      <c r="N427" s="9">
        <v>50.0840478</v>
      </c>
      <c r="O427" s="9">
        <v>14.3558644</v>
      </c>
    </row>
    <row r="428" spans="1:36">
      <c r="A428" s="6">
        <v>446</v>
      </c>
      <c r="B428" s="9" t="s">
        <v>6297</v>
      </c>
      <c r="D428" s="9" t="s">
        <v>1673</v>
      </c>
      <c r="E428" s="9" t="s">
        <v>6298</v>
      </c>
      <c r="F428" t="s">
        <v>4111</v>
      </c>
      <c r="G428" s="47" t="s">
        <v>6299</v>
      </c>
      <c r="H428" s="47" t="s">
        <v>6300</v>
      </c>
      <c r="I428" s="40" t="s">
        <v>6301</v>
      </c>
      <c r="K428" s="12" t="s">
        <v>4115</v>
      </c>
      <c r="M428" s="9" t="s">
        <v>6302</v>
      </c>
      <c r="N428" s="9">
        <v>50.431546400000002</v>
      </c>
      <c r="O428" s="9">
        <v>15.8132114</v>
      </c>
      <c r="Y428" s="6"/>
      <c r="Z428" s="6"/>
      <c r="AA428" s="6"/>
      <c r="AB428" s="6"/>
      <c r="AC428" s="6"/>
      <c r="AD428" s="6"/>
      <c r="AE428" s="6"/>
      <c r="AF428" s="6"/>
      <c r="AG428" s="6"/>
      <c r="AH428" s="6"/>
      <c r="AI428" s="6"/>
      <c r="AJ428" s="6"/>
    </row>
    <row r="429" spans="1:36">
      <c r="A429" s="6">
        <v>447</v>
      </c>
      <c r="B429" s="9" t="s">
        <v>6303</v>
      </c>
      <c r="C429" s="9" t="s">
        <v>174</v>
      </c>
      <c r="D429" s="9" t="s">
        <v>4262</v>
      </c>
      <c r="E429" s="9" t="s">
        <v>6304</v>
      </c>
      <c r="F429" s="6" t="s">
        <v>4178</v>
      </c>
      <c r="G429" s="47" t="s">
        <v>6305</v>
      </c>
      <c r="I429" s="6" t="s">
        <v>178</v>
      </c>
      <c r="K429" s="9" t="s">
        <v>174</v>
      </c>
      <c r="M429" s="9" t="s">
        <v>6306</v>
      </c>
      <c r="N429" s="9">
        <v>50.106349399999999</v>
      </c>
      <c r="O429" s="9">
        <v>14.3868078</v>
      </c>
    </row>
    <row r="430" spans="1:36">
      <c r="A430" s="6">
        <v>448</v>
      </c>
      <c r="B430" s="9" t="s">
        <v>6307</v>
      </c>
      <c r="C430" s="9" t="s">
        <v>174</v>
      </c>
      <c r="D430" s="9" t="s">
        <v>1556</v>
      </c>
      <c r="E430" s="9" t="s">
        <v>6308</v>
      </c>
      <c r="F430" s="6" t="s">
        <v>4178</v>
      </c>
      <c r="G430" s="47" t="s">
        <v>6309</v>
      </c>
      <c r="H430" s="63" t="str">
        <f>HYPERLINK("https://www.facebook.com/Bernard-Pub-Anděl-831035093597454","https://www.facebook.com/Bernard-Pub-Anděl-831035093597454")</f>
        <v>https://www.facebook.com/Bernard-Pub-Anděl-831035093597454</v>
      </c>
      <c r="I430" s="6" t="s">
        <v>178</v>
      </c>
      <c r="K430" s="9" t="s">
        <v>174</v>
      </c>
      <c r="M430" s="9" t="s">
        <v>6310</v>
      </c>
      <c r="N430" s="9">
        <v>50.068661400000003</v>
      </c>
      <c r="O430" s="9">
        <v>14.401602199999999</v>
      </c>
    </row>
    <row r="431" spans="1:36">
      <c r="A431" s="6">
        <v>449</v>
      </c>
      <c r="B431" s="9" t="s">
        <v>6311</v>
      </c>
      <c r="C431" s="9" t="s">
        <v>174</v>
      </c>
      <c r="D431" s="9" t="s">
        <v>2602</v>
      </c>
      <c r="E431" s="9" t="s">
        <v>6312</v>
      </c>
      <c r="F431" s="6" t="s">
        <v>4178</v>
      </c>
      <c r="G431" s="47" t="s">
        <v>6313</v>
      </c>
      <c r="H431" s="47" t="s">
        <v>6314</v>
      </c>
      <c r="I431" s="6" t="s">
        <v>178</v>
      </c>
      <c r="K431" s="9" t="s">
        <v>174</v>
      </c>
      <c r="M431" s="9" t="s">
        <v>6315</v>
      </c>
      <c r="N431" s="9">
        <v>50.0722539</v>
      </c>
      <c r="O431" s="9">
        <v>14.4345175</v>
      </c>
    </row>
    <row r="432" spans="1:36">
      <c r="A432" s="6">
        <v>450</v>
      </c>
      <c r="B432" s="9" t="s">
        <v>6316</v>
      </c>
      <c r="C432" s="9" t="s">
        <v>174</v>
      </c>
      <c r="D432" s="9" t="s">
        <v>1785</v>
      </c>
      <c r="E432" s="9" t="s">
        <v>6317</v>
      </c>
      <c r="F432" s="6" t="s">
        <v>4178</v>
      </c>
      <c r="G432" s="47" t="s">
        <v>6318</v>
      </c>
      <c r="H432" s="47" t="s">
        <v>6319</v>
      </c>
      <c r="I432" s="6" t="s">
        <v>178</v>
      </c>
      <c r="K432" s="9" t="s">
        <v>174</v>
      </c>
      <c r="M432" s="9" t="s">
        <v>6320</v>
      </c>
      <c r="N432" s="9">
        <v>50.088567500000003</v>
      </c>
      <c r="O432" s="9">
        <v>14.469261400000001</v>
      </c>
    </row>
    <row r="433" spans="1:36">
      <c r="A433" s="6">
        <v>451</v>
      </c>
      <c r="B433" s="9" t="s">
        <v>6321</v>
      </c>
      <c r="C433" s="9" t="s">
        <v>174</v>
      </c>
      <c r="D433" s="9" t="s">
        <v>268</v>
      </c>
      <c r="E433" s="9" t="s">
        <v>6322</v>
      </c>
      <c r="F433" s="6" t="s">
        <v>4178</v>
      </c>
      <c r="G433" s="47" t="s">
        <v>6323</v>
      </c>
      <c r="I433" s="6" t="s">
        <v>178</v>
      </c>
      <c r="K433" s="9" t="s">
        <v>174</v>
      </c>
      <c r="M433" s="9" t="s">
        <v>6324</v>
      </c>
      <c r="N433" s="9">
        <v>50.083828599999997</v>
      </c>
      <c r="O433" s="9">
        <v>14.3695606</v>
      </c>
      <c r="Z433" s="9" t="s">
        <v>47</v>
      </c>
    </row>
    <row r="434" spans="1:36">
      <c r="A434" s="6">
        <v>452</v>
      </c>
      <c r="B434" s="9" t="s">
        <v>6325</v>
      </c>
      <c r="C434" s="9" t="s">
        <v>174</v>
      </c>
      <c r="D434" s="9" t="s">
        <v>2434</v>
      </c>
      <c r="E434" s="9" t="s">
        <v>6326</v>
      </c>
      <c r="F434" s="6" t="s">
        <v>4178</v>
      </c>
      <c r="G434" s="47" t="s">
        <v>6327</v>
      </c>
      <c r="H434" s="47" t="s">
        <v>6328</v>
      </c>
      <c r="I434" s="6" t="s">
        <v>178</v>
      </c>
      <c r="K434" s="9" t="s">
        <v>174</v>
      </c>
      <c r="M434" s="9" t="s">
        <v>6329</v>
      </c>
      <c r="N434" s="9">
        <v>50.0469267</v>
      </c>
      <c r="O434" s="9">
        <v>14.3249511</v>
      </c>
    </row>
    <row r="435" spans="1:36">
      <c r="A435" s="6">
        <v>453</v>
      </c>
      <c r="B435" s="9" t="s">
        <v>6330</v>
      </c>
      <c r="C435" s="9" t="s">
        <v>174</v>
      </c>
      <c r="D435" s="9" t="s">
        <v>1034</v>
      </c>
      <c r="E435" s="9" t="s">
        <v>6331</v>
      </c>
      <c r="F435" s="6" t="s">
        <v>4178</v>
      </c>
      <c r="G435" s="47" t="s">
        <v>6332</v>
      </c>
      <c r="H435" s="47" t="s">
        <v>6333</v>
      </c>
      <c r="I435" s="6" t="s">
        <v>178</v>
      </c>
      <c r="K435" s="9" t="s">
        <v>174</v>
      </c>
      <c r="M435" s="9" t="s">
        <v>6334</v>
      </c>
      <c r="N435" s="9">
        <v>49.5930617</v>
      </c>
      <c r="O435" s="9">
        <v>17.251284699999999</v>
      </c>
    </row>
    <row r="436" spans="1:36">
      <c r="A436" s="6">
        <v>454</v>
      </c>
      <c r="B436" s="9" t="s">
        <v>6335</v>
      </c>
      <c r="C436" s="6" t="s">
        <v>6179</v>
      </c>
      <c r="D436" s="9" t="s">
        <v>2434</v>
      </c>
      <c r="E436" s="9" t="s">
        <v>6336</v>
      </c>
      <c r="F436" s="6" t="s">
        <v>4178</v>
      </c>
      <c r="G436" s="47" t="s">
        <v>6337</v>
      </c>
      <c r="H436" s="47" t="s">
        <v>6338</v>
      </c>
      <c r="I436" s="6" t="s">
        <v>6184</v>
      </c>
      <c r="K436" s="6" t="s">
        <v>6179</v>
      </c>
      <c r="M436" s="9" t="s">
        <v>6339</v>
      </c>
      <c r="N436" s="9">
        <v>50.044868899999997</v>
      </c>
      <c r="O436" s="9">
        <v>14.321921700000001</v>
      </c>
    </row>
    <row r="437" spans="1:36">
      <c r="A437" s="6">
        <v>455</v>
      </c>
      <c r="B437" s="9" t="s">
        <v>6340</v>
      </c>
      <c r="C437" s="6" t="s">
        <v>370</v>
      </c>
      <c r="D437" s="9" t="s">
        <v>298</v>
      </c>
      <c r="E437" s="9" t="s">
        <v>6341</v>
      </c>
      <c r="F437" s="6" t="s">
        <v>4178</v>
      </c>
      <c r="G437" s="47" t="s">
        <v>6342</v>
      </c>
      <c r="H437" s="47" t="s">
        <v>6343</v>
      </c>
      <c r="I437" s="6" t="s">
        <v>375</v>
      </c>
      <c r="K437" s="6" t="s">
        <v>370</v>
      </c>
      <c r="M437" s="9" t="s">
        <v>6344</v>
      </c>
      <c r="N437" s="9">
        <v>48.970219399999998</v>
      </c>
      <c r="O437" s="9">
        <v>14.4964131</v>
      </c>
      <c r="Y437" s="6"/>
      <c r="Z437" s="6"/>
      <c r="AA437" s="6"/>
      <c r="AB437" s="6"/>
      <c r="AC437" s="6"/>
      <c r="AD437" s="6"/>
      <c r="AE437" s="6"/>
      <c r="AF437" s="6"/>
      <c r="AG437" s="6"/>
      <c r="AH437" s="6"/>
      <c r="AI437" s="6"/>
      <c r="AJ437" s="6"/>
    </row>
    <row r="438" spans="1:36">
      <c r="A438" s="6">
        <v>456</v>
      </c>
      <c r="B438" s="9" t="s">
        <v>6345</v>
      </c>
      <c r="C438" s="6" t="s">
        <v>370</v>
      </c>
      <c r="D438" s="9" t="s">
        <v>961</v>
      </c>
      <c r="E438" s="9" t="s">
        <v>6346</v>
      </c>
      <c r="F438" s="6" t="s">
        <v>4178</v>
      </c>
      <c r="G438" s="47" t="s">
        <v>6347</v>
      </c>
      <c r="I438" s="6" t="s">
        <v>375</v>
      </c>
      <c r="K438" s="6" t="s">
        <v>370</v>
      </c>
      <c r="M438" s="9" t="s">
        <v>6348</v>
      </c>
      <c r="N438" s="9">
        <v>50.105023299999999</v>
      </c>
      <c r="O438" s="9">
        <v>14.454353599999999</v>
      </c>
    </row>
    <row r="439" spans="1:36">
      <c r="A439" s="6">
        <v>457</v>
      </c>
      <c r="B439" s="9" t="s">
        <v>6349</v>
      </c>
      <c r="C439" s="6" t="s">
        <v>370</v>
      </c>
      <c r="D439" s="9" t="s">
        <v>372</v>
      </c>
      <c r="E439" s="9" t="s">
        <v>6350</v>
      </c>
      <c r="F439" s="6" t="s">
        <v>4178</v>
      </c>
      <c r="G439" s="47" t="s">
        <v>6351</v>
      </c>
      <c r="H439" s="47" t="s">
        <v>6352</v>
      </c>
      <c r="I439" s="6" t="s">
        <v>375</v>
      </c>
      <c r="K439" s="6" t="s">
        <v>370</v>
      </c>
      <c r="M439" s="9" t="s">
        <v>6353</v>
      </c>
      <c r="N439" s="9">
        <v>49.257852200000002</v>
      </c>
      <c r="O439" s="9">
        <v>13.9124222</v>
      </c>
    </row>
    <row r="440" spans="1:36">
      <c r="A440" s="6">
        <v>458</v>
      </c>
      <c r="B440" s="9" t="s">
        <v>6354</v>
      </c>
      <c r="C440" s="6" t="s">
        <v>370</v>
      </c>
      <c r="D440" s="9" t="s">
        <v>3304</v>
      </c>
      <c r="E440" s="9" t="s">
        <v>6355</v>
      </c>
      <c r="F440" s="6" t="s">
        <v>4178</v>
      </c>
      <c r="G440" s="47" t="s">
        <v>6356</v>
      </c>
      <c r="I440" s="6" t="s">
        <v>375</v>
      </c>
      <c r="K440" s="6" t="s">
        <v>370</v>
      </c>
      <c r="M440" s="9" t="s">
        <v>6357</v>
      </c>
      <c r="N440" s="9">
        <v>50.257521099999998</v>
      </c>
      <c r="O440" s="9">
        <v>14.5159222</v>
      </c>
    </row>
    <row r="441" spans="1:36">
      <c r="A441" s="6">
        <v>459</v>
      </c>
      <c r="B441" s="9" t="s">
        <v>6358</v>
      </c>
      <c r="C441" s="6" t="s">
        <v>370</v>
      </c>
      <c r="D441" s="9" t="s">
        <v>961</v>
      </c>
      <c r="E441" s="9" t="s">
        <v>6359</v>
      </c>
      <c r="F441" s="6" t="s">
        <v>4178</v>
      </c>
      <c r="G441" s="47" t="s">
        <v>6360</v>
      </c>
      <c r="I441" s="6" t="s">
        <v>375</v>
      </c>
      <c r="K441" s="6" t="s">
        <v>370</v>
      </c>
      <c r="M441" s="9" t="s">
        <v>6361</v>
      </c>
      <c r="N441" s="9">
        <v>50.103115799999998</v>
      </c>
      <c r="O441" s="9">
        <v>14.449082799999999</v>
      </c>
    </row>
    <row r="442" spans="1:36">
      <c r="A442" s="6">
        <v>460</v>
      </c>
      <c r="B442" s="9" t="s">
        <v>5308</v>
      </c>
      <c r="C442" s="6" t="s">
        <v>370</v>
      </c>
      <c r="D442" s="9" t="s">
        <v>372</v>
      </c>
      <c r="E442" s="9" t="s">
        <v>6362</v>
      </c>
      <c r="F442" s="6" t="s">
        <v>4178</v>
      </c>
      <c r="G442" s="47" t="s">
        <v>6363</v>
      </c>
      <c r="H442" s="47" t="s">
        <v>6364</v>
      </c>
      <c r="I442" s="6" t="s">
        <v>375</v>
      </c>
      <c r="K442" s="6" t="s">
        <v>370</v>
      </c>
      <c r="M442" s="9" t="s">
        <v>6365</v>
      </c>
      <c r="N442" s="9">
        <v>49.261858099999998</v>
      </c>
      <c r="O442" s="9">
        <v>13.901725000000001</v>
      </c>
    </row>
    <row r="443" spans="1:36">
      <c r="A443" s="9">
        <v>461</v>
      </c>
      <c r="B443" s="9" t="s">
        <v>6366</v>
      </c>
      <c r="C443" s="9"/>
      <c r="D443" s="9" t="s">
        <v>1018</v>
      </c>
      <c r="E443" s="9" t="s">
        <v>6367</v>
      </c>
      <c r="F443" s="9" t="s">
        <v>4111</v>
      </c>
      <c r="G443" s="47" t="s">
        <v>6368</v>
      </c>
      <c r="H443" s="47" t="s">
        <v>6369</v>
      </c>
      <c r="I443" s="40" t="s">
        <v>6370</v>
      </c>
      <c r="J443" s="9" t="s">
        <v>6371</v>
      </c>
      <c r="K443" s="9" t="s">
        <v>4335</v>
      </c>
      <c r="M443" s="9" t="s">
        <v>6372</v>
      </c>
      <c r="N443" s="9">
        <v>49.192635799999998</v>
      </c>
      <c r="O443" s="9">
        <v>16.606846900000001</v>
      </c>
    </row>
    <row r="444" spans="1:36">
      <c r="A444" s="9">
        <v>462</v>
      </c>
      <c r="B444" s="9" t="s">
        <v>2786</v>
      </c>
      <c r="C444" s="9" t="s">
        <v>2778</v>
      </c>
      <c r="D444" s="9" t="s">
        <v>123</v>
      </c>
      <c r="E444" s="9" t="s">
        <v>6373</v>
      </c>
      <c r="F444" s="6" t="s">
        <v>4150</v>
      </c>
      <c r="G444" s="47" t="s">
        <v>6374</v>
      </c>
      <c r="H444" s="47" t="s">
        <v>6375</v>
      </c>
      <c r="I444" s="6" t="s">
        <v>2783</v>
      </c>
      <c r="K444" s="9" t="s">
        <v>2778</v>
      </c>
      <c r="M444" t="s">
        <v>6376</v>
      </c>
      <c r="N444">
        <v>49.837223100000003</v>
      </c>
      <c r="O444">
        <v>18.2899536</v>
      </c>
    </row>
    <row r="445" spans="1:36">
      <c r="A445" s="9">
        <v>463</v>
      </c>
      <c r="B445" s="9" t="s">
        <v>6377</v>
      </c>
      <c r="C445" s="9" t="s">
        <v>3197</v>
      </c>
      <c r="D445" s="9" t="s">
        <v>111</v>
      </c>
      <c r="E445" s="9" t="s">
        <v>6378</v>
      </c>
      <c r="F445" s="6" t="s">
        <v>4150</v>
      </c>
      <c r="G445" s="47" t="s">
        <v>6379</v>
      </c>
      <c r="H445" s="47" t="s">
        <v>6380</v>
      </c>
      <c r="I445" s="40" t="s">
        <v>6381</v>
      </c>
      <c r="K445" s="9" t="s">
        <v>6382</v>
      </c>
      <c r="M445" s="9" t="s">
        <v>6383</v>
      </c>
      <c r="N445" s="9">
        <v>49.841721700000001</v>
      </c>
      <c r="O445" s="9">
        <v>18.1784575</v>
      </c>
    </row>
    <row r="446" spans="1:36">
      <c r="A446" s="9">
        <v>464</v>
      </c>
      <c r="B446" s="9" t="s">
        <v>6384</v>
      </c>
      <c r="C446" s="9" t="s">
        <v>3617</v>
      </c>
      <c r="D446" s="9" t="s">
        <v>6385</v>
      </c>
      <c r="E446" s="9" t="s">
        <v>6386</v>
      </c>
      <c r="F446" s="6" t="s">
        <v>4150</v>
      </c>
      <c r="I446" s="6" t="s">
        <v>3621</v>
      </c>
      <c r="K446" s="9" t="s">
        <v>3617</v>
      </c>
      <c r="M446" s="9" t="s">
        <v>6387</v>
      </c>
      <c r="N446" s="9">
        <v>50.085870800000002</v>
      </c>
      <c r="O446" s="9">
        <v>14.3828119</v>
      </c>
    </row>
    <row r="447" spans="1:36">
      <c r="A447" s="9">
        <v>465</v>
      </c>
      <c r="B447" s="9" t="s">
        <v>6388</v>
      </c>
      <c r="C447" s="9" t="s">
        <v>6389</v>
      </c>
      <c r="D447" s="9" t="s">
        <v>6390</v>
      </c>
      <c r="E447" s="9" t="s">
        <v>6391</v>
      </c>
      <c r="F447" s="6" t="s">
        <v>4170</v>
      </c>
      <c r="G447" s="47" t="s">
        <v>6392</v>
      </c>
      <c r="J447" t="s">
        <v>5994</v>
      </c>
      <c r="K447" s="9" t="s">
        <v>6389</v>
      </c>
      <c r="M447" s="9" t="s">
        <v>6393</v>
      </c>
      <c r="N447" s="9">
        <v>49.562155599999997</v>
      </c>
      <c r="O447" s="9">
        <v>13.197252799999999</v>
      </c>
      <c r="Y447" s="6"/>
      <c r="Z447" s="6"/>
      <c r="AA447" s="6"/>
      <c r="AB447" s="6"/>
      <c r="AC447" s="6"/>
      <c r="AD447" s="6"/>
      <c r="AE447" s="6"/>
      <c r="AF447" s="6"/>
      <c r="AG447" s="6"/>
      <c r="AH447" s="6"/>
      <c r="AI447" s="6"/>
      <c r="AJ447" s="6"/>
    </row>
    <row r="448" spans="1:36" ht="1.5" customHeight="1">
      <c r="A448" s="9">
        <v>466</v>
      </c>
      <c r="B448" s="9" t="s">
        <v>6394</v>
      </c>
      <c r="C448" s="9" t="s">
        <v>6395</v>
      </c>
      <c r="D448" s="61" t="s">
        <v>6396</v>
      </c>
      <c r="E448" s="61" t="s">
        <v>6397</v>
      </c>
      <c r="F448" s="6" t="s">
        <v>4170</v>
      </c>
      <c r="J448" t="s">
        <v>5994</v>
      </c>
      <c r="K448" s="9" t="s">
        <v>6395</v>
      </c>
      <c r="M448" s="9" t="s">
        <v>6398</v>
      </c>
      <c r="N448" s="9">
        <v>49.096285799999997</v>
      </c>
      <c r="O448" s="9">
        <v>14.232696900000001</v>
      </c>
      <c r="Y448" s="6"/>
      <c r="Z448" s="6"/>
      <c r="AA448" s="6"/>
      <c r="AB448" s="6"/>
      <c r="AC448" s="6"/>
      <c r="AD448" s="6"/>
      <c r="AE448" s="6"/>
      <c r="AF448" s="6"/>
      <c r="AG448" s="6"/>
      <c r="AH448" s="6"/>
      <c r="AI448" s="6"/>
      <c r="AJ448" s="6"/>
    </row>
    <row r="449" spans="1:36">
      <c r="A449" s="9">
        <v>467</v>
      </c>
      <c r="B449" s="9" t="s">
        <v>6399</v>
      </c>
      <c r="C449" s="9" t="s">
        <v>6400</v>
      </c>
      <c r="D449" s="9" t="s">
        <v>6401</v>
      </c>
      <c r="E449" s="9" t="s">
        <v>6402</v>
      </c>
      <c r="F449" s="6" t="s">
        <v>4170</v>
      </c>
      <c r="G449" s="47" t="s">
        <v>6403</v>
      </c>
      <c r="I449" s="40" t="s">
        <v>6404</v>
      </c>
      <c r="J449" t="s">
        <v>5994</v>
      </c>
      <c r="K449" s="9" t="s">
        <v>6400</v>
      </c>
      <c r="M449" s="9" t="s">
        <v>6405</v>
      </c>
      <c r="N449" s="9">
        <v>50.530859700000001</v>
      </c>
      <c r="O449" s="9">
        <v>15.3701914</v>
      </c>
      <c r="Y449" s="6"/>
      <c r="Z449" s="12" t="s">
        <v>47</v>
      </c>
      <c r="AA449" s="6"/>
      <c r="AB449" s="6"/>
      <c r="AC449" s="6"/>
      <c r="AD449" s="6"/>
      <c r="AE449" s="6"/>
      <c r="AF449" s="6"/>
      <c r="AG449" s="6"/>
      <c r="AH449" s="6"/>
      <c r="AI449" s="6"/>
      <c r="AJ449" s="6"/>
    </row>
    <row r="450" spans="1:36">
      <c r="A450" s="9">
        <v>468</v>
      </c>
      <c r="B450" s="9" t="s">
        <v>6406</v>
      </c>
      <c r="C450" s="9" t="s">
        <v>6406</v>
      </c>
      <c r="D450" s="9" t="s">
        <v>3469</v>
      </c>
      <c r="E450" s="9" t="s">
        <v>6407</v>
      </c>
      <c r="F450" s="6" t="s">
        <v>4150</v>
      </c>
      <c r="H450" s="47" t="s">
        <v>6408</v>
      </c>
      <c r="I450" s="40" t="s">
        <v>6409</v>
      </c>
      <c r="J450" t="s">
        <v>5994</v>
      </c>
      <c r="K450" s="9" t="s">
        <v>6406</v>
      </c>
      <c r="M450" s="9" t="s">
        <v>6410</v>
      </c>
      <c r="N450" s="9">
        <v>50.725008099999997</v>
      </c>
      <c r="O450" s="9">
        <v>15.181062799999999</v>
      </c>
      <c r="Y450" s="6"/>
      <c r="Z450" s="6"/>
      <c r="AA450" s="6"/>
      <c r="AB450" s="6"/>
      <c r="AC450" s="6"/>
      <c r="AD450" s="6"/>
      <c r="AE450" s="6"/>
      <c r="AF450" s="6"/>
      <c r="AG450" s="6"/>
      <c r="AH450" s="6"/>
      <c r="AI450" s="6"/>
      <c r="AJ450" s="6"/>
    </row>
    <row r="451" spans="1:36">
      <c r="A451" s="9">
        <v>469</v>
      </c>
      <c r="B451" s="9" t="s">
        <v>6411</v>
      </c>
      <c r="D451" s="9" t="s">
        <v>208</v>
      </c>
      <c r="E451" s="9" t="s">
        <v>6412</v>
      </c>
      <c r="F451" s="6" t="s">
        <v>4170</v>
      </c>
      <c r="G451" s="47" t="s">
        <v>6413</v>
      </c>
      <c r="I451" s="6" t="s">
        <v>162</v>
      </c>
      <c r="K451" s="9" t="s">
        <v>158</v>
      </c>
      <c r="M451" s="9" t="s">
        <v>6414</v>
      </c>
      <c r="N451" s="9">
        <v>50.210034700000001</v>
      </c>
      <c r="O451" s="9">
        <v>15.836314399999999</v>
      </c>
    </row>
    <row r="452" spans="1:36">
      <c r="A452" s="9">
        <v>470</v>
      </c>
      <c r="B452" s="9" t="s">
        <v>6415</v>
      </c>
      <c r="D452" s="9" t="s">
        <v>6416</v>
      </c>
      <c r="E452" s="9" t="s">
        <v>6417</v>
      </c>
      <c r="F452" s="6" t="s">
        <v>4170</v>
      </c>
      <c r="G452" s="47" t="s">
        <v>6418</v>
      </c>
      <c r="I452" s="6" t="s">
        <v>594</v>
      </c>
      <c r="K452" s="9" t="s">
        <v>591</v>
      </c>
      <c r="M452" s="9" t="s">
        <v>6419</v>
      </c>
      <c r="N452" s="9">
        <v>49.946136699999997</v>
      </c>
      <c r="O452" s="9">
        <v>15.6677053</v>
      </c>
    </row>
    <row r="453" spans="1:36">
      <c r="A453" s="9">
        <v>471</v>
      </c>
      <c r="B453" s="9" t="s">
        <v>497</v>
      </c>
      <c r="C453" s="9" t="s">
        <v>497</v>
      </c>
      <c r="D453" s="9" t="s">
        <v>313</v>
      </c>
      <c r="E453" s="9" t="s">
        <v>6420</v>
      </c>
      <c r="F453" s="6" t="s">
        <v>4178</v>
      </c>
      <c r="G453" s="47" t="s">
        <v>6421</v>
      </c>
      <c r="I453" s="6" t="s">
        <v>501</v>
      </c>
      <c r="K453" s="9" t="s">
        <v>6422</v>
      </c>
      <c r="M453" s="9" t="s">
        <v>6423</v>
      </c>
      <c r="N453" s="9">
        <v>49.966971399999998</v>
      </c>
      <c r="O453" s="9">
        <v>16.9772122</v>
      </c>
    </row>
    <row r="454" spans="1:36">
      <c r="A454" s="9">
        <v>472</v>
      </c>
      <c r="B454" s="9" t="s">
        <v>6424</v>
      </c>
      <c r="C454" s="9" t="s">
        <v>214</v>
      </c>
      <c r="D454" s="9" t="s">
        <v>111</v>
      </c>
      <c r="E454" s="9" t="s">
        <v>6425</v>
      </c>
      <c r="F454" s="12" t="s">
        <v>4150</v>
      </c>
      <c r="H454" s="63" t="str">
        <f>HYPERLINK("https://www.facebook.com/Pivnice-Portáš-1717432445006848","https://www.facebook.com/Pivnice-Portáš-1717432445006848")</f>
        <v>https://www.facebook.com/Pivnice-Portáš-1717432445006848</v>
      </c>
      <c r="I454" s="6" t="s">
        <v>219</v>
      </c>
      <c r="K454" s="9" t="s">
        <v>214</v>
      </c>
      <c r="M454" s="9" t="s">
        <v>6426</v>
      </c>
      <c r="N454" s="9">
        <v>49.825829200000001</v>
      </c>
      <c r="O454" s="9">
        <v>18.182320000000001</v>
      </c>
    </row>
    <row r="455" spans="1:36">
      <c r="A455" s="9">
        <v>473</v>
      </c>
      <c r="B455" s="9" t="s">
        <v>6427</v>
      </c>
      <c r="D455" s="9" t="s">
        <v>645</v>
      </c>
      <c r="E455" s="9" t="s">
        <v>6428</v>
      </c>
      <c r="F455" s="9" t="s">
        <v>4111</v>
      </c>
      <c r="G455" s="47" t="s">
        <v>6429</v>
      </c>
      <c r="H455" s="47" t="s">
        <v>6430</v>
      </c>
      <c r="I455" s="40" t="s">
        <v>6431</v>
      </c>
      <c r="K455" s="12" t="s">
        <v>4115</v>
      </c>
      <c r="M455" s="9" t="s">
        <v>6432</v>
      </c>
      <c r="N455" s="9">
        <v>50.0399697</v>
      </c>
      <c r="O455" s="9">
        <v>14.505952499999999</v>
      </c>
    </row>
    <row r="456" spans="1:36">
      <c r="A456" s="9">
        <v>474</v>
      </c>
      <c r="B456" s="9" t="s">
        <v>6433</v>
      </c>
      <c r="C456" s="9" t="s">
        <v>833</v>
      </c>
      <c r="D456" s="9" t="s">
        <v>1018</v>
      </c>
      <c r="E456" s="9" t="s">
        <v>6434</v>
      </c>
      <c r="F456" s="6" t="s">
        <v>4170</v>
      </c>
      <c r="H456" s="47" t="s">
        <v>6435</v>
      </c>
      <c r="I456" s="6" t="s">
        <v>837</v>
      </c>
      <c r="K456" s="6" t="s">
        <v>833</v>
      </c>
      <c r="M456" s="9" t="s">
        <v>6436</v>
      </c>
      <c r="N456" s="9">
        <v>49.192864999999998</v>
      </c>
      <c r="O456" s="9">
        <v>16.6065836</v>
      </c>
    </row>
    <row r="457" spans="1:36">
      <c r="A457" s="9">
        <v>475</v>
      </c>
      <c r="B457" s="9" t="s">
        <v>6437</v>
      </c>
      <c r="D457" s="9" t="s">
        <v>6438</v>
      </c>
      <c r="E457" s="9" t="s">
        <v>6439</v>
      </c>
      <c r="F457" s="9" t="s">
        <v>4111</v>
      </c>
      <c r="K457" s="12" t="s">
        <v>4115</v>
      </c>
      <c r="M457" s="9" t="s">
        <v>6440</v>
      </c>
      <c r="N457" s="9">
        <v>50.0004603</v>
      </c>
      <c r="O457" s="9">
        <v>16.208906899999999</v>
      </c>
    </row>
    <row r="458" spans="1:36">
      <c r="A458" s="9">
        <v>476</v>
      </c>
      <c r="B458" s="9" t="s">
        <v>6441</v>
      </c>
      <c r="D458" s="9" t="s">
        <v>6442</v>
      </c>
      <c r="E458" s="9" t="s">
        <v>6443</v>
      </c>
      <c r="F458" s="9" t="s">
        <v>4111</v>
      </c>
      <c r="K458" s="12" t="s">
        <v>4115</v>
      </c>
      <c r="M458" s="9" t="s">
        <v>6444</v>
      </c>
      <c r="N458" s="9">
        <v>50.475795300000001</v>
      </c>
      <c r="O458" s="9">
        <v>16.1810358</v>
      </c>
    </row>
    <row r="459" spans="1:36">
      <c r="A459" s="9">
        <v>477</v>
      </c>
      <c r="B459" s="9" t="s">
        <v>6445</v>
      </c>
      <c r="C459" s="9" t="s">
        <v>737</v>
      </c>
      <c r="D459" s="9" t="s">
        <v>739</v>
      </c>
      <c r="E459" s="9" t="s">
        <v>4028</v>
      </c>
      <c r="F459" s="6" t="s">
        <v>4150</v>
      </c>
      <c r="G459" s="47" t="s">
        <v>4029</v>
      </c>
      <c r="H459" s="47" t="s">
        <v>4030</v>
      </c>
      <c r="I459" s="6" t="s">
        <v>741</v>
      </c>
      <c r="K459" s="9" t="s">
        <v>737</v>
      </c>
      <c r="M459" s="9" t="s">
        <v>4033</v>
      </c>
      <c r="N459" s="9">
        <v>49.679981400000003</v>
      </c>
      <c r="O459" s="9">
        <v>18.464394200000001</v>
      </c>
    </row>
    <row r="460" spans="1:36">
      <c r="A460" s="9">
        <v>478</v>
      </c>
      <c r="B460" s="9" t="s">
        <v>6446</v>
      </c>
      <c r="C460" s="9" t="s">
        <v>6447</v>
      </c>
      <c r="D460" t="s">
        <v>1785</v>
      </c>
      <c r="E460" s="9" t="s">
        <v>6448</v>
      </c>
      <c r="F460" s="6" t="s">
        <v>4150</v>
      </c>
      <c r="K460" s="9" t="s">
        <v>6447</v>
      </c>
      <c r="M460" s="9" t="s">
        <v>6449</v>
      </c>
      <c r="N460" s="9">
        <v>50.087559400000004</v>
      </c>
      <c r="O460" s="9">
        <v>14.4569375</v>
      </c>
    </row>
    <row r="461" spans="1:36">
      <c r="A461" s="9">
        <v>479</v>
      </c>
      <c r="B461" s="9" t="s">
        <v>6424</v>
      </c>
      <c r="C461" s="9" t="s">
        <v>214</v>
      </c>
      <c r="D461" s="9" t="s">
        <v>5398</v>
      </c>
      <c r="E461" s="9" t="s">
        <v>6450</v>
      </c>
      <c r="F461" s="12" t="s">
        <v>4150</v>
      </c>
      <c r="I461" s="6" t="s">
        <v>219</v>
      </c>
      <c r="K461" s="9" t="s">
        <v>214</v>
      </c>
      <c r="M461" s="9" t="s">
        <v>6451</v>
      </c>
      <c r="N461" s="9">
        <v>49.827570000000001</v>
      </c>
      <c r="O461" s="9">
        <v>18.252314999999999</v>
      </c>
      <c r="Y461" s="6"/>
      <c r="Z461" s="6"/>
      <c r="AA461" s="6"/>
      <c r="AB461" s="6"/>
      <c r="AC461" s="6"/>
      <c r="AD461" s="6"/>
      <c r="AE461" s="6"/>
      <c r="AF461" s="6"/>
      <c r="AG461" s="6"/>
      <c r="AH461" s="6"/>
      <c r="AI461" s="6"/>
      <c r="AJ461" s="6"/>
    </row>
    <row r="462" spans="1:36">
      <c r="A462" s="9">
        <v>480</v>
      </c>
      <c r="B462" s="9" t="s">
        <v>6452</v>
      </c>
      <c r="D462" s="9" t="s">
        <v>638</v>
      </c>
      <c r="E462" s="9" t="s">
        <v>6453</v>
      </c>
      <c r="F462" s="9" t="s">
        <v>4111</v>
      </c>
      <c r="H462" s="47" t="s">
        <v>6454</v>
      </c>
      <c r="K462" s="12" t="s">
        <v>4115</v>
      </c>
      <c r="M462" s="9" t="s">
        <v>6455</v>
      </c>
      <c r="N462" s="9">
        <v>50.4697125</v>
      </c>
      <c r="O462" s="9">
        <v>13.398634400000001</v>
      </c>
      <c r="Y462" s="6"/>
      <c r="Z462" s="6"/>
      <c r="AA462" s="6"/>
      <c r="AB462" s="6"/>
      <c r="AC462" s="6"/>
      <c r="AD462" s="6"/>
      <c r="AE462" s="6"/>
      <c r="AF462" s="6"/>
      <c r="AG462" s="6"/>
      <c r="AH462" s="6"/>
      <c r="AI462" s="6"/>
      <c r="AJ462" s="6"/>
    </row>
    <row r="463" spans="1:36">
      <c r="A463" s="9">
        <v>481</v>
      </c>
      <c r="B463" s="9" t="s">
        <v>6456</v>
      </c>
      <c r="D463" s="9" t="s">
        <v>639</v>
      </c>
      <c r="E463" s="9" t="s">
        <v>6457</v>
      </c>
      <c r="F463" s="9" t="s">
        <v>4111</v>
      </c>
      <c r="G463" s="47" t="s">
        <v>6458</v>
      </c>
      <c r="H463" s="47" t="s">
        <v>6459</v>
      </c>
      <c r="K463" s="12" t="s">
        <v>4115</v>
      </c>
      <c r="M463" s="9" t="s">
        <v>6460</v>
      </c>
      <c r="N463" s="9">
        <v>50.376289399999997</v>
      </c>
      <c r="O463" s="9">
        <v>13.2702817</v>
      </c>
    </row>
    <row r="464" spans="1:36">
      <c r="A464" s="9">
        <v>482</v>
      </c>
      <c r="B464" s="9" t="s">
        <v>6461</v>
      </c>
      <c r="D464" s="9" t="s">
        <v>6462</v>
      </c>
      <c r="E464" s="9" t="s">
        <v>6463</v>
      </c>
      <c r="F464" s="9" t="s">
        <v>4111</v>
      </c>
      <c r="G464" s="47" t="s">
        <v>6464</v>
      </c>
      <c r="H464" s="47" t="s">
        <v>6465</v>
      </c>
      <c r="J464" s="9" t="s">
        <v>6466</v>
      </c>
      <c r="K464" s="12" t="s">
        <v>4115</v>
      </c>
      <c r="M464" s="9" t="s">
        <v>6467</v>
      </c>
      <c r="N464" s="9">
        <v>50.151801900000002</v>
      </c>
      <c r="O464" s="9">
        <v>13.900509400000001</v>
      </c>
      <c r="Y464" s="6"/>
      <c r="Z464" s="6"/>
      <c r="AA464" s="6"/>
      <c r="AB464" s="6"/>
      <c r="AC464" s="6"/>
      <c r="AD464" s="6"/>
      <c r="AE464" s="6"/>
      <c r="AF464" s="6"/>
      <c r="AG464" s="6"/>
      <c r="AH464" s="6"/>
      <c r="AI464" s="6"/>
      <c r="AJ464" s="6"/>
    </row>
    <row r="465" spans="1:36">
      <c r="A465" s="9">
        <v>483</v>
      </c>
      <c r="B465" s="9" t="s">
        <v>6468</v>
      </c>
      <c r="D465" s="9" t="s">
        <v>6469</v>
      </c>
      <c r="E465" s="9" t="s">
        <v>6470</v>
      </c>
      <c r="F465" s="9" t="s">
        <v>4111</v>
      </c>
      <c r="H465" s="47" t="s">
        <v>6471</v>
      </c>
      <c r="K465" s="12" t="s">
        <v>4115</v>
      </c>
      <c r="M465" s="9" t="s">
        <v>6472</v>
      </c>
      <c r="N465" s="9">
        <v>50.490707200000003</v>
      </c>
      <c r="O465" s="9">
        <v>15.0581786</v>
      </c>
      <c r="Z465" s="9" t="s">
        <v>47</v>
      </c>
    </row>
    <row r="466" spans="1:36">
      <c r="A466" s="9">
        <v>484</v>
      </c>
      <c r="B466" s="9" t="s">
        <v>6473</v>
      </c>
      <c r="D466" s="9" t="s">
        <v>2602</v>
      </c>
      <c r="E466" s="9" t="s">
        <v>6474</v>
      </c>
      <c r="F466" s="9" t="s">
        <v>4111</v>
      </c>
      <c r="H466" s="47" t="s">
        <v>6475</v>
      </c>
      <c r="K466" s="12" t="s">
        <v>4115</v>
      </c>
      <c r="M466" s="9" t="s">
        <v>6476</v>
      </c>
      <c r="N466" s="9">
        <v>50.0747444</v>
      </c>
      <c r="O466" s="9">
        <v>14.4421742</v>
      </c>
    </row>
    <row r="467" spans="1:36">
      <c r="A467" s="9">
        <v>485</v>
      </c>
      <c r="B467" s="9" t="s">
        <v>6477</v>
      </c>
      <c r="C467" s="9" t="s">
        <v>1817</v>
      </c>
      <c r="D467" s="9" t="s">
        <v>645</v>
      </c>
      <c r="E467" s="9" t="s">
        <v>6478</v>
      </c>
      <c r="F467" s="12" t="s">
        <v>4150</v>
      </c>
      <c r="H467" s="47" t="s">
        <v>6479</v>
      </c>
      <c r="I467" s="40" t="s">
        <v>1821</v>
      </c>
      <c r="K467" s="9" t="s">
        <v>1817</v>
      </c>
      <c r="M467" s="9" t="s">
        <v>6480</v>
      </c>
      <c r="N467" s="9">
        <v>50.039310299999997</v>
      </c>
      <c r="O467" s="9">
        <v>14.5104661</v>
      </c>
    </row>
    <row r="468" spans="1:36">
      <c r="A468" s="9">
        <v>486</v>
      </c>
      <c r="B468" s="9" t="s">
        <v>6481</v>
      </c>
      <c r="D468" s="9" t="s">
        <v>1785</v>
      </c>
      <c r="E468" s="9" t="s">
        <v>6482</v>
      </c>
      <c r="F468" s="6" t="s">
        <v>4170</v>
      </c>
      <c r="H468" s="47" t="s">
        <v>6483</v>
      </c>
      <c r="I468" s="6" t="s">
        <v>1548</v>
      </c>
      <c r="K468" s="9" t="s">
        <v>1545</v>
      </c>
      <c r="M468" s="9" t="s">
        <v>6484</v>
      </c>
      <c r="N468" s="9">
        <v>50.087415300000004</v>
      </c>
      <c r="O468" s="9">
        <v>14.469194999999999</v>
      </c>
    </row>
    <row r="469" spans="1:36">
      <c r="A469" s="9">
        <v>487</v>
      </c>
      <c r="B469" s="9" t="s">
        <v>6485</v>
      </c>
      <c r="C469" s="9" t="s">
        <v>527</v>
      </c>
      <c r="D469" s="9" t="s">
        <v>4724</v>
      </c>
      <c r="E469" s="9" t="s">
        <v>6486</v>
      </c>
      <c r="F469" s="6" t="s">
        <v>4170</v>
      </c>
      <c r="G469" s="47" t="s">
        <v>6487</v>
      </c>
      <c r="I469" s="6" t="s">
        <v>531</v>
      </c>
      <c r="K469" s="9" t="s">
        <v>527</v>
      </c>
      <c r="M469" s="9" t="s">
        <v>6488</v>
      </c>
      <c r="N469" s="9">
        <v>49.785275300000002</v>
      </c>
      <c r="O469" s="9">
        <v>18.219376700000002</v>
      </c>
      <c r="Y469" s="6"/>
      <c r="Z469" s="6"/>
      <c r="AA469" s="6"/>
      <c r="AB469" s="6"/>
      <c r="AC469" s="6"/>
      <c r="AD469" s="6"/>
      <c r="AE469" s="6"/>
      <c r="AF469" s="6"/>
      <c r="AG469" s="6"/>
      <c r="AH469" s="6"/>
      <c r="AI469" s="6"/>
      <c r="AJ469" s="6"/>
    </row>
    <row r="470" spans="1:36">
      <c r="A470" s="9">
        <v>488</v>
      </c>
      <c r="B470" s="9" t="s">
        <v>6489</v>
      </c>
      <c r="D470" s="9" t="s">
        <v>4724</v>
      </c>
      <c r="E470" s="12" t="s">
        <v>4725</v>
      </c>
      <c r="F470" s="9" t="s">
        <v>4111</v>
      </c>
      <c r="H470" s="47" t="s">
        <v>6490</v>
      </c>
      <c r="K470" s="12" t="s">
        <v>4115</v>
      </c>
      <c r="M470" s="6" t="s">
        <v>4728</v>
      </c>
      <c r="N470" s="14">
        <v>49.783211700000003</v>
      </c>
      <c r="O470" s="14">
        <v>18.223611900000002</v>
      </c>
    </row>
    <row r="471" spans="1:36">
      <c r="A471" s="9">
        <v>489</v>
      </c>
      <c r="B471" s="9" t="s">
        <v>6491</v>
      </c>
      <c r="C471" s="9" t="s">
        <v>6492</v>
      </c>
      <c r="D471" s="9" t="s">
        <v>108</v>
      </c>
      <c r="E471" s="9" t="s">
        <v>6493</v>
      </c>
      <c r="F471" s="9" t="s">
        <v>4150</v>
      </c>
      <c r="J471" s="9" t="s">
        <v>6494</v>
      </c>
      <c r="K471" s="9" t="s">
        <v>6492</v>
      </c>
      <c r="M471" s="9" t="s">
        <v>6495</v>
      </c>
      <c r="N471" s="9">
        <v>50.685451100000002</v>
      </c>
      <c r="O471" s="76">
        <v>14.5387828</v>
      </c>
    </row>
    <row r="472" spans="1:36">
      <c r="A472" s="12">
        <v>490</v>
      </c>
      <c r="B472" s="12" t="s">
        <v>6496</v>
      </c>
      <c r="C472" s="6" t="s">
        <v>191</v>
      </c>
      <c r="D472" s="6" t="s">
        <v>111</v>
      </c>
      <c r="E472" s="12" t="s">
        <v>6497</v>
      </c>
      <c r="F472" s="6" t="s">
        <v>4170</v>
      </c>
      <c r="G472" s="6" t="s">
        <v>6498</v>
      </c>
      <c r="H472" s="6" t="s">
        <v>6499</v>
      </c>
      <c r="I472" s="6" t="s">
        <v>197</v>
      </c>
      <c r="J472" s="12" t="s">
        <v>6500</v>
      </c>
      <c r="K472" s="12" t="s">
        <v>5339</v>
      </c>
      <c r="L472" s="6"/>
      <c r="M472" s="6" t="s">
        <v>6501</v>
      </c>
      <c r="N472" s="14">
        <v>49.82978</v>
      </c>
      <c r="O472" s="14">
        <v>18.1699381</v>
      </c>
      <c r="P472" s="6"/>
      <c r="Q472" s="6"/>
      <c r="R472" s="6"/>
      <c r="S472" s="6"/>
      <c r="T472" s="6"/>
      <c r="U472" s="6"/>
      <c r="V472" s="6"/>
      <c r="W472" s="6"/>
      <c r="Y472" s="6"/>
      <c r="Z472" s="6"/>
      <c r="AA472" s="6"/>
    </row>
    <row r="473" spans="1:36">
      <c r="A473" s="9">
        <v>491</v>
      </c>
      <c r="B473" s="9" t="s">
        <v>6502</v>
      </c>
      <c r="C473" s="9" t="s">
        <v>2591</v>
      </c>
      <c r="D473" s="9" t="s">
        <v>1207</v>
      </c>
      <c r="E473" s="9" t="s">
        <v>6503</v>
      </c>
      <c r="F473" s="6" t="s">
        <v>4170</v>
      </c>
      <c r="G473" s="47" t="s">
        <v>6504</v>
      </c>
      <c r="H473" s="47" t="s">
        <v>6505</v>
      </c>
      <c r="I473" s="6" t="s">
        <v>2595</v>
      </c>
      <c r="K473" s="9" t="s">
        <v>2591</v>
      </c>
      <c r="M473" s="9" t="s">
        <v>6506</v>
      </c>
      <c r="N473" s="9">
        <v>49.804464699999997</v>
      </c>
      <c r="O473" s="9">
        <v>18.240436899999999</v>
      </c>
    </row>
    <row r="474" spans="1:36">
      <c r="A474" s="9">
        <v>492</v>
      </c>
      <c r="B474" s="9" t="s">
        <v>6507</v>
      </c>
      <c r="C474" s="9" t="s">
        <v>1342</v>
      </c>
      <c r="D474" s="9" t="s">
        <v>111</v>
      </c>
      <c r="E474" s="77" t="s">
        <v>6508</v>
      </c>
      <c r="F474" s="6" t="s">
        <v>4178</v>
      </c>
      <c r="G474" s="78" t="s">
        <v>6510</v>
      </c>
      <c r="H474" s="47" t="s">
        <v>6511</v>
      </c>
      <c r="I474" s="6" t="s">
        <v>1347</v>
      </c>
      <c r="K474" s="9" t="s">
        <v>1342</v>
      </c>
      <c r="M474" s="9" t="s">
        <v>6512</v>
      </c>
      <c r="N474" s="9">
        <v>49.8315889</v>
      </c>
      <c r="O474" s="9">
        <v>18.177957800000001</v>
      </c>
    </row>
    <row r="475" spans="1:36">
      <c r="A475" s="9">
        <v>493</v>
      </c>
      <c r="B475" s="9" t="s">
        <v>6513</v>
      </c>
      <c r="C475" s="9" t="s">
        <v>4041</v>
      </c>
      <c r="D475" s="9" t="s">
        <v>4043</v>
      </c>
      <c r="E475" s="9" t="s">
        <v>4044</v>
      </c>
      <c r="F475" s="9" t="s">
        <v>4150</v>
      </c>
      <c r="G475" s="47" t="s">
        <v>4045</v>
      </c>
      <c r="I475" s="40" t="s">
        <v>4047</v>
      </c>
      <c r="K475" s="9" t="s">
        <v>4041</v>
      </c>
      <c r="M475" s="9" t="s">
        <v>6514</v>
      </c>
      <c r="N475" s="9">
        <v>49.939349999999997</v>
      </c>
      <c r="O475" s="9">
        <v>14.132541700000001</v>
      </c>
    </row>
  </sheetData>
  <hyperlinks>
    <hyperlink ref="G5" r:id="rId1"/>
    <hyperlink ref="G6" r:id="rId2"/>
    <hyperlink ref="G7" r:id="rId3"/>
    <hyperlink ref="G15" r:id="rId4"/>
    <hyperlink ref="G23" r:id="rId5"/>
    <hyperlink ref="H29" r:id="rId6"/>
    <hyperlink ref="G33" r:id="rId7"/>
    <hyperlink ref="G36" r:id="rId8"/>
    <hyperlink ref="H37" r:id="rId9"/>
    <hyperlink ref="I37" r:id="rId10"/>
    <hyperlink ref="G45" r:id="rId11"/>
    <hyperlink ref="G54" r:id="rId12"/>
    <hyperlink ref="G61" r:id="rId13"/>
    <hyperlink ref="G65" r:id="rId14"/>
    <hyperlink ref="G91" r:id="rId15"/>
    <hyperlink ref="G115" r:id="rId16"/>
    <hyperlink ref="L119" r:id="rId17"/>
    <hyperlink ref="G148" r:id="rId18"/>
    <hyperlink ref="H148" r:id="rId19"/>
    <hyperlink ref="G213" r:id="rId20"/>
    <hyperlink ref="H213" r:id="rId21"/>
    <hyperlink ref="G215" r:id="rId22"/>
    <hyperlink ref="H215" r:id="rId23"/>
    <hyperlink ref="G266" r:id="rId24"/>
    <hyperlink ref="G284" r:id="rId25"/>
    <hyperlink ref="G288" r:id="rId26"/>
    <hyperlink ref="G292" r:id="rId27"/>
    <hyperlink ref="H331" r:id="rId28"/>
    <hyperlink ref="G336" r:id="rId29"/>
    <hyperlink ref="G337" r:id="rId30"/>
    <hyperlink ref="G345" r:id="rId31"/>
    <hyperlink ref="H374" r:id="rId32"/>
    <hyperlink ref="G422" r:id="rId33"/>
    <hyperlink ref="G423" r:id="rId34"/>
    <hyperlink ref="H423" r:id="rId35"/>
    <hyperlink ref="G424" r:id="rId36"/>
    <hyperlink ref="H424" r:id="rId37"/>
    <hyperlink ref="G425" r:id="rId38"/>
    <hyperlink ref="H425" r:id="rId39"/>
    <hyperlink ref="I425" r:id="rId40"/>
    <hyperlink ref="G426" r:id="rId41"/>
    <hyperlink ref="H426" r:id="rId42"/>
    <hyperlink ref="G427" r:id="rId43"/>
    <hyperlink ref="H427" r:id="rId44"/>
    <hyperlink ref="G428" r:id="rId45"/>
    <hyperlink ref="H428" r:id="rId46"/>
    <hyperlink ref="I428" r:id="rId47"/>
    <hyperlink ref="G429" r:id="rId48"/>
    <hyperlink ref="G430" r:id="rId49"/>
    <hyperlink ref="G431" r:id="rId50"/>
    <hyperlink ref="H431" r:id="rId51"/>
    <hyperlink ref="G432" r:id="rId52"/>
    <hyperlink ref="H432" r:id="rId53"/>
    <hyperlink ref="G433" r:id="rId54"/>
    <hyperlink ref="G434" r:id="rId55"/>
    <hyperlink ref="H434" r:id="rId56"/>
    <hyperlink ref="G435" r:id="rId57"/>
    <hyperlink ref="H435" r:id="rId58"/>
    <hyperlink ref="G436" r:id="rId59"/>
    <hyperlink ref="H436" r:id="rId60"/>
    <hyperlink ref="G437" r:id="rId61"/>
    <hyperlink ref="H437" r:id="rId62"/>
    <hyperlink ref="G438" r:id="rId63"/>
    <hyperlink ref="G439" r:id="rId64"/>
    <hyperlink ref="H439" r:id="rId65"/>
    <hyperlink ref="G440" r:id="rId66"/>
    <hyperlink ref="G441" r:id="rId67"/>
    <hyperlink ref="G442" r:id="rId68"/>
    <hyperlink ref="H442" r:id="rId69"/>
    <hyperlink ref="G443" r:id="rId70"/>
    <hyperlink ref="H443" r:id="rId71"/>
    <hyperlink ref="I443" r:id="rId72"/>
    <hyperlink ref="G444" r:id="rId73"/>
    <hyperlink ref="H444" r:id="rId74"/>
    <hyperlink ref="G445" r:id="rId75"/>
    <hyperlink ref="H445" r:id="rId76"/>
    <hyperlink ref="I445" r:id="rId77"/>
    <hyperlink ref="G447" r:id="rId78"/>
    <hyperlink ref="G449" r:id="rId79"/>
    <hyperlink ref="I449" r:id="rId80"/>
    <hyperlink ref="H450" r:id="rId81"/>
    <hyperlink ref="I450" r:id="rId82"/>
    <hyperlink ref="G451" r:id="rId83"/>
    <hyperlink ref="G452" r:id="rId84"/>
    <hyperlink ref="G453" r:id="rId85"/>
    <hyperlink ref="G455" r:id="rId86"/>
    <hyperlink ref="H455" r:id="rId87"/>
    <hyperlink ref="I455" r:id="rId88"/>
    <hyperlink ref="H456" r:id="rId89"/>
    <hyperlink ref="G459" r:id="rId90"/>
    <hyperlink ref="H459" r:id="rId91"/>
    <hyperlink ref="H462" r:id="rId92"/>
    <hyperlink ref="G463" r:id="rId93"/>
    <hyperlink ref="H463" r:id="rId94"/>
    <hyperlink ref="G464" r:id="rId95"/>
    <hyperlink ref="H464" r:id="rId96"/>
    <hyperlink ref="H465" r:id="rId97"/>
    <hyperlink ref="H466" r:id="rId98"/>
    <hyperlink ref="H467" r:id="rId99"/>
    <hyperlink ref="I467" r:id="rId100"/>
    <hyperlink ref="H468" r:id="rId101"/>
    <hyperlink ref="G469" r:id="rId102"/>
    <hyperlink ref="H470" r:id="rId103"/>
    <hyperlink ref="G473" r:id="rId104"/>
    <hyperlink ref="H473" r:id="rId105"/>
    <hyperlink ref="G474" r:id="rId106"/>
    <hyperlink ref="H474" r:id="rId107"/>
    <hyperlink ref="G475" r:id="rId108"/>
    <hyperlink ref="I475" r:id="rId109"/>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5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 customHeight="1"/>
  <cols>
    <col min="1" max="1" width="8.7109375" customWidth="1"/>
    <col min="2" max="2" width="28.85546875" customWidth="1"/>
    <col min="3" max="3" width="40.7109375" customWidth="1"/>
    <col min="4" max="4" width="22.140625" customWidth="1"/>
    <col min="5" max="5" width="36.42578125" customWidth="1"/>
    <col min="6" max="7" width="13" customWidth="1"/>
    <col min="8" max="9" width="8.7109375" customWidth="1"/>
    <col min="10" max="10" width="34.28515625" customWidth="1"/>
    <col min="11" max="11" width="25" customWidth="1"/>
    <col min="12" max="12" width="20.7109375" customWidth="1"/>
    <col min="13" max="17" width="8.7109375" customWidth="1"/>
    <col min="18" max="18" width="6.28515625" customWidth="1"/>
    <col min="19" max="19" width="27.42578125" customWidth="1"/>
    <col min="20" max="20" width="36.28515625" customWidth="1"/>
    <col min="21" max="21" width="17.42578125" customWidth="1"/>
    <col min="22" max="22" width="19.28515625" customWidth="1"/>
    <col min="23" max="32" width="8.7109375" customWidth="1"/>
  </cols>
  <sheetData>
    <row r="1" spans="1:32">
      <c r="A1" s="2" t="s">
        <v>0</v>
      </c>
      <c r="B1" s="1" t="s">
        <v>2</v>
      </c>
      <c r="C1" s="2" t="s">
        <v>3</v>
      </c>
      <c r="D1" s="2" t="s">
        <v>5</v>
      </c>
      <c r="E1" s="1" t="s">
        <v>6</v>
      </c>
      <c r="F1" s="1" t="s">
        <v>7</v>
      </c>
      <c r="G1" s="2" t="s">
        <v>8</v>
      </c>
      <c r="H1" s="79" t="s">
        <v>9</v>
      </c>
      <c r="I1" s="2" t="s">
        <v>10</v>
      </c>
      <c r="J1" s="2" t="s">
        <v>11</v>
      </c>
      <c r="K1" s="2" t="s">
        <v>12</v>
      </c>
      <c r="L1" s="2" t="s">
        <v>13</v>
      </c>
      <c r="M1" s="2" t="s">
        <v>14</v>
      </c>
      <c r="N1" s="2" t="s">
        <v>15</v>
      </c>
      <c r="O1" s="2" t="s">
        <v>16</v>
      </c>
      <c r="P1" s="2" t="s">
        <v>17</v>
      </c>
      <c r="Q1" s="2" t="s">
        <v>6518</v>
      </c>
      <c r="R1" s="2" t="s">
        <v>26</v>
      </c>
      <c r="S1" s="2" t="s">
        <v>18</v>
      </c>
      <c r="T1" s="2" t="s">
        <v>19</v>
      </c>
      <c r="U1" s="3" t="s">
        <v>20</v>
      </c>
      <c r="V1" s="3" t="s">
        <v>21</v>
      </c>
      <c r="W1" s="80">
        <v>2010</v>
      </c>
      <c r="X1" s="80">
        <v>2011</v>
      </c>
      <c r="Y1" s="80">
        <v>2012</v>
      </c>
      <c r="Z1" s="80">
        <v>2013</v>
      </c>
      <c r="AA1" s="80">
        <v>2014</v>
      </c>
      <c r="AB1" s="80">
        <v>2015</v>
      </c>
      <c r="AC1" s="80">
        <v>2016</v>
      </c>
      <c r="AD1" s="80">
        <v>2017</v>
      </c>
      <c r="AE1" s="80">
        <v>2018</v>
      </c>
      <c r="AF1" s="1" t="s">
        <v>22</v>
      </c>
    </row>
    <row r="2" spans="1:32">
      <c r="B2" s="9" t="s">
        <v>145</v>
      </c>
      <c r="C2" s="9" t="s">
        <v>146</v>
      </c>
      <c r="D2" s="9" t="s">
        <v>147</v>
      </c>
      <c r="E2" s="9" t="s">
        <v>148</v>
      </c>
      <c r="F2" s="9" t="s">
        <v>6519</v>
      </c>
      <c r="G2" s="17" t="s">
        <v>73</v>
      </c>
      <c r="J2" s="47" t="s">
        <v>149</v>
      </c>
      <c r="K2" s="47" t="s">
        <v>150</v>
      </c>
      <c r="L2" s="47" t="s">
        <v>151</v>
      </c>
      <c r="S2" s="47" t="s">
        <v>156</v>
      </c>
      <c r="T2" s="9" t="s">
        <v>157</v>
      </c>
      <c r="U2" s="9">
        <v>54.896376400000001</v>
      </c>
      <c r="V2" s="9">
        <v>23.892564700000001</v>
      </c>
      <c r="AC2" s="9" t="s">
        <v>47</v>
      </c>
    </row>
    <row r="3" spans="1:32">
      <c r="A3" s="9"/>
      <c r="B3" s="17" t="s">
        <v>6520</v>
      </c>
      <c r="C3" s="17" t="s">
        <v>6520</v>
      </c>
      <c r="D3" s="17" t="s">
        <v>6521</v>
      </c>
      <c r="E3" s="9" t="s">
        <v>6522</v>
      </c>
      <c r="F3" s="17" t="s">
        <v>6523</v>
      </c>
      <c r="G3" s="17" t="s">
        <v>6524</v>
      </c>
      <c r="J3" s="16"/>
      <c r="K3" s="16"/>
      <c r="L3" s="47" t="s">
        <v>6525</v>
      </c>
      <c r="S3" s="47" t="s">
        <v>6526</v>
      </c>
      <c r="T3" s="9" t="s">
        <v>6527</v>
      </c>
      <c r="U3" s="17">
        <v>51.246977999999999</v>
      </c>
      <c r="V3" s="9">
        <v>22.563395</v>
      </c>
      <c r="W3" s="16"/>
      <c r="X3" s="16"/>
      <c r="Y3" s="16"/>
      <c r="Z3" s="16"/>
      <c r="AA3" s="16"/>
      <c r="AB3" s="16"/>
      <c r="AC3" s="9" t="s">
        <v>47</v>
      </c>
      <c r="AD3" s="16"/>
      <c r="AF3" s="9" t="s">
        <v>47</v>
      </c>
    </row>
    <row r="4" spans="1:32">
      <c r="B4" s="9" t="s">
        <v>6528</v>
      </c>
      <c r="C4" s="9" t="s">
        <v>6528</v>
      </c>
      <c r="D4" s="9" t="s">
        <v>6529</v>
      </c>
      <c r="E4" s="9" t="s">
        <v>6530</v>
      </c>
      <c r="F4" s="9" t="s">
        <v>6531</v>
      </c>
      <c r="G4" s="17" t="s">
        <v>73</v>
      </c>
      <c r="J4" s="47" t="s">
        <v>6532</v>
      </c>
      <c r="K4" s="47" t="s">
        <v>6533</v>
      </c>
      <c r="L4" s="47" t="s">
        <v>6534</v>
      </c>
      <c r="S4" s="47" t="s">
        <v>6535</v>
      </c>
      <c r="T4" s="9" t="s">
        <v>6536</v>
      </c>
      <c r="U4" s="9">
        <v>56.956577000000003</v>
      </c>
      <c r="V4" s="9">
        <v>24.120695000000001</v>
      </c>
      <c r="AC4" s="9" t="s">
        <v>47</v>
      </c>
    </row>
    <row r="5" spans="1:32">
      <c r="A5" s="9"/>
      <c r="B5" s="17" t="s">
        <v>6537</v>
      </c>
      <c r="C5" s="17" t="s">
        <v>6538</v>
      </c>
      <c r="D5" s="17" t="s">
        <v>6539</v>
      </c>
      <c r="E5" s="9" t="s">
        <v>6540</v>
      </c>
      <c r="F5" s="17" t="s">
        <v>6541</v>
      </c>
      <c r="G5" s="17" t="s">
        <v>73</v>
      </c>
      <c r="J5" s="81" t="s">
        <v>6542</v>
      </c>
      <c r="K5" s="16"/>
      <c r="L5" s="47" t="s">
        <v>6543</v>
      </c>
      <c r="S5" s="47" t="s">
        <v>6544</v>
      </c>
      <c r="T5" s="9" t="s">
        <v>6545</v>
      </c>
      <c r="U5" s="17">
        <v>50.892269200000001</v>
      </c>
      <c r="V5" s="17">
        <v>14.232078599999999</v>
      </c>
      <c r="W5" s="16"/>
      <c r="X5" s="16"/>
      <c r="Y5" s="16"/>
      <c r="Z5" s="16"/>
      <c r="AA5" s="16"/>
      <c r="AB5" s="16"/>
      <c r="AC5" s="16"/>
      <c r="AD5" s="16"/>
      <c r="AF5" s="9" t="s">
        <v>47</v>
      </c>
    </row>
    <row r="6" spans="1:32">
      <c r="B6" s="9" t="s">
        <v>6546</v>
      </c>
      <c r="C6" s="9" t="s">
        <v>6546</v>
      </c>
      <c r="D6" s="9" t="s">
        <v>6547</v>
      </c>
      <c r="E6" s="9" t="s">
        <v>6548</v>
      </c>
      <c r="F6" s="9" t="s">
        <v>6519</v>
      </c>
      <c r="G6" s="17" t="s">
        <v>73</v>
      </c>
      <c r="J6" s="47" t="s">
        <v>6549</v>
      </c>
      <c r="K6" s="47" t="s">
        <v>6550</v>
      </c>
      <c r="L6" s="47" t="s">
        <v>6551</v>
      </c>
      <c r="S6" s="47" t="s">
        <v>6552</v>
      </c>
      <c r="T6" s="9" t="s">
        <v>6553</v>
      </c>
      <c r="U6" s="9">
        <v>54.684587800000003</v>
      </c>
      <c r="V6" s="9">
        <v>25.282385000000001</v>
      </c>
      <c r="AC6" s="9" t="s">
        <v>47</v>
      </c>
    </row>
    <row r="7" spans="1:32">
      <c r="A7" s="9"/>
      <c r="B7" s="17" t="s">
        <v>6554</v>
      </c>
      <c r="C7" s="17" t="s">
        <v>6555</v>
      </c>
      <c r="D7" s="17" t="s">
        <v>6556</v>
      </c>
      <c r="E7" s="9" t="s">
        <v>6557</v>
      </c>
      <c r="F7" s="17" t="s">
        <v>6523</v>
      </c>
      <c r="G7" s="17" t="s">
        <v>73</v>
      </c>
      <c r="J7" s="81" t="s">
        <v>6558</v>
      </c>
      <c r="K7" s="81" t="s">
        <v>6559</v>
      </c>
      <c r="L7" s="47" t="s">
        <v>6560</v>
      </c>
      <c r="S7" s="47" t="s">
        <v>6561</v>
      </c>
      <c r="T7" s="9" t="s">
        <v>6562</v>
      </c>
      <c r="U7" s="82">
        <v>50.063458099999998</v>
      </c>
      <c r="V7" s="82">
        <v>19.932449200000001</v>
      </c>
      <c r="W7" s="16"/>
      <c r="X7" s="16"/>
      <c r="Y7" s="16"/>
      <c r="Z7" s="16"/>
      <c r="AA7" s="17" t="s">
        <v>47</v>
      </c>
      <c r="AB7" s="16"/>
      <c r="AC7" s="16"/>
      <c r="AD7" s="16"/>
      <c r="AF7" s="9" t="s">
        <v>47</v>
      </c>
    </row>
    <row r="8" spans="1:32">
      <c r="A8" s="9"/>
      <c r="B8" s="17" t="s">
        <v>6563</v>
      </c>
      <c r="C8" s="17" t="s">
        <v>6564</v>
      </c>
      <c r="D8" s="17" t="s">
        <v>6565</v>
      </c>
      <c r="E8" s="17" t="s">
        <v>6566</v>
      </c>
      <c r="F8" s="17" t="s">
        <v>6523</v>
      </c>
      <c r="G8" s="17" t="s">
        <v>6524</v>
      </c>
      <c r="J8" s="16"/>
      <c r="K8" s="17"/>
      <c r="L8" s="47" t="s">
        <v>6567</v>
      </c>
      <c r="S8" s="47" t="s">
        <v>6568</v>
      </c>
      <c r="T8" s="9" t="s">
        <v>6569</v>
      </c>
      <c r="U8" s="82">
        <v>49.744893900000001</v>
      </c>
      <c r="V8" s="82">
        <v>18.634314700000001</v>
      </c>
      <c r="W8" s="16"/>
      <c r="X8" s="16"/>
      <c r="Y8" s="16"/>
      <c r="Z8" s="17" t="s">
        <v>47</v>
      </c>
      <c r="AA8" s="16"/>
      <c r="AB8" s="16"/>
      <c r="AC8" s="16"/>
      <c r="AD8" s="16"/>
      <c r="AF8" s="9" t="s">
        <v>47</v>
      </c>
    </row>
    <row r="9" spans="1:32">
      <c r="A9" s="83"/>
      <c r="B9" s="9" t="s">
        <v>6570</v>
      </c>
      <c r="C9" s="9" t="s">
        <v>6571</v>
      </c>
      <c r="D9" s="17" t="s">
        <v>6572</v>
      </c>
      <c r="E9" s="9" t="s">
        <v>6573</v>
      </c>
      <c r="F9" s="9" t="s">
        <v>6523</v>
      </c>
      <c r="G9" s="17" t="s">
        <v>73</v>
      </c>
      <c r="J9" s="81" t="s">
        <v>6574</v>
      </c>
      <c r="K9" s="81" t="s">
        <v>6575</v>
      </c>
      <c r="L9" s="47" t="s">
        <v>6576</v>
      </c>
      <c r="S9" s="47" t="s">
        <v>6577</v>
      </c>
      <c r="T9" s="9" t="s">
        <v>6578</v>
      </c>
      <c r="U9" s="82">
        <v>50.803649999999998</v>
      </c>
      <c r="V9" s="82">
        <v>19.111329999999999</v>
      </c>
      <c r="AD9" s="9" t="s">
        <v>47</v>
      </c>
      <c r="AF9" s="9" t="s">
        <v>47</v>
      </c>
    </row>
    <row r="10" spans="1:32">
      <c r="B10" s="12" t="s">
        <v>6579</v>
      </c>
      <c r="C10" s="9" t="s">
        <v>6580</v>
      </c>
      <c r="D10" s="6" t="s">
        <v>6581</v>
      </c>
      <c r="E10" s="9" t="s">
        <v>6582</v>
      </c>
      <c r="F10" s="9" t="s">
        <v>6583</v>
      </c>
      <c r="G10" s="6" t="s">
        <v>38</v>
      </c>
      <c r="J10" s="47" t="s">
        <v>6584</v>
      </c>
      <c r="K10" s="9" t="s">
        <v>6585</v>
      </c>
      <c r="L10" s="47" t="s">
        <v>6586</v>
      </c>
      <c r="S10" s="47" t="s">
        <v>6587</v>
      </c>
      <c r="T10" s="9" t="s">
        <v>6588</v>
      </c>
      <c r="U10" s="9">
        <v>49.440707799999998</v>
      </c>
      <c r="V10" s="9">
        <v>18.7756361</v>
      </c>
      <c r="AC10" s="9" t="s">
        <v>47</v>
      </c>
    </row>
    <row r="11" spans="1:32">
      <c r="B11" s="9" t="s">
        <v>6589</v>
      </c>
      <c r="C11" s="9" t="s">
        <v>6589</v>
      </c>
      <c r="D11" s="9" t="s">
        <v>6590</v>
      </c>
      <c r="E11" s="9" t="s">
        <v>6591</v>
      </c>
      <c r="F11" s="9" t="s">
        <v>6592</v>
      </c>
      <c r="G11" s="6" t="s">
        <v>38</v>
      </c>
      <c r="J11" s="47" t="s">
        <v>6593</v>
      </c>
      <c r="K11" s="47" t="s">
        <v>6594</v>
      </c>
      <c r="L11" s="47" t="s">
        <v>6595</v>
      </c>
      <c r="S11" s="47" t="s">
        <v>6596</v>
      </c>
      <c r="T11" s="9" t="s">
        <v>6597</v>
      </c>
      <c r="U11" s="9">
        <v>40.422717200000001</v>
      </c>
      <c r="V11" s="9">
        <v>-3.7017058</v>
      </c>
      <c r="AC11" s="9" t="s">
        <v>47</v>
      </c>
    </row>
    <row r="12" spans="1:32">
      <c r="A12" s="9"/>
      <c r="B12" s="17" t="s">
        <v>6598</v>
      </c>
      <c r="C12" s="17" t="s">
        <v>6599</v>
      </c>
      <c r="D12" s="17" t="s">
        <v>6600</v>
      </c>
      <c r="E12" s="17" t="s">
        <v>6601</v>
      </c>
      <c r="F12" s="17" t="s">
        <v>6583</v>
      </c>
      <c r="G12" s="17" t="s">
        <v>73</v>
      </c>
      <c r="J12" s="81" t="s">
        <v>6602</v>
      </c>
      <c r="K12" s="81" t="s">
        <v>6603</v>
      </c>
      <c r="L12" s="47" t="s">
        <v>6604</v>
      </c>
      <c r="S12" s="47" t="s">
        <v>6605</v>
      </c>
      <c r="T12" s="9" t="s">
        <v>6606</v>
      </c>
      <c r="U12" s="82">
        <v>48.720458299999997</v>
      </c>
      <c r="V12" s="82">
        <v>21.254804700000001</v>
      </c>
      <c r="W12" s="16"/>
      <c r="X12" s="17"/>
      <c r="Y12" s="16"/>
      <c r="Z12" s="16"/>
      <c r="AA12" s="16"/>
      <c r="AB12" s="16"/>
      <c r="AC12" s="16"/>
      <c r="AD12" s="16"/>
      <c r="AF12" s="9" t="s">
        <v>47</v>
      </c>
    </row>
    <row r="13" spans="1:32">
      <c r="B13" s="12" t="s">
        <v>6607</v>
      </c>
      <c r="C13" s="17" t="s">
        <v>6608</v>
      </c>
      <c r="D13" s="6" t="s">
        <v>6521</v>
      </c>
      <c r="E13" s="9" t="s">
        <v>6609</v>
      </c>
      <c r="F13" s="9" t="s">
        <v>6523</v>
      </c>
      <c r="G13" s="17" t="s">
        <v>73</v>
      </c>
      <c r="J13" s="81" t="s">
        <v>6610</v>
      </c>
      <c r="K13" s="47" t="s">
        <v>6611</v>
      </c>
      <c r="L13" s="47" t="s">
        <v>6612</v>
      </c>
      <c r="M13" s="47" t="s">
        <v>6613</v>
      </c>
      <c r="S13" s="47" t="s">
        <v>6614</v>
      </c>
      <c r="T13" s="9" t="s">
        <v>6615</v>
      </c>
      <c r="U13" s="9">
        <v>51.2492436</v>
      </c>
      <c r="V13" s="9">
        <v>22.569442800000001</v>
      </c>
      <c r="AC13" s="9" t="s">
        <v>47</v>
      </c>
      <c r="AF13" s="9" t="s">
        <v>47</v>
      </c>
    </row>
    <row r="14" spans="1:32">
      <c r="A14" s="9"/>
      <c r="B14" s="9" t="s">
        <v>6616</v>
      </c>
      <c r="C14" s="9" t="s">
        <v>6617</v>
      </c>
      <c r="D14" s="9" t="s">
        <v>6345</v>
      </c>
      <c r="E14" s="9" t="s">
        <v>6618</v>
      </c>
      <c r="F14" s="9" t="s">
        <v>6541</v>
      </c>
      <c r="G14" s="17" t="s">
        <v>73</v>
      </c>
      <c r="J14" s="47" t="s">
        <v>6619</v>
      </c>
      <c r="K14" s="47" t="s">
        <v>6620</v>
      </c>
      <c r="L14" s="47" t="s">
        <v>6621</v>
      </c>
      <c r="S14" s="47" t="s">
        <v>6622</v>
      </c>
      <c r="T14" s="9" t="s">
        <v>6623</v>
      </c>
      <c r="U14" s="9">
        <v>53.547151900000003</v>
      </c>
      <c r="V14" s="9">
        <v>9.9962266999999994</v>
      </c>
      <c r="AC14" s="9" t="s">
        <v>47</v>
      </c>
      <c r="AD14" s="9"/>
    </row>
    <row r="15" spans="1:32">
      <c r="A15" s="9"/>
      <c r="B15" s="17" t="s">
        <v>6624</v>
      </c>
      <c r="C15" s="17" t="s">
        <v>6624</v>
      </c>
      <c r="D15" s="17" t="s">
        <v>6625</v>
      </c>
      <c r="E15" s="17" t="s">
        <v>6626</v>
      </c>
      <c r="F15" s="17" t="s">
        <v>6627</v>
      </c>
      <c r="G15" s="17" t="s">
        <v>73</v>
      </c>
      <c r="J15" s="81" t="s">
        <v>6628</v>
      </c>
      <c r="K15" s="81" t="s">
        <v>6629</v>
      </c>
      <c r="L15" s="47" t="s">
        <v>6630</v>
      </c>
      <c r="S15" s="47" t="s">
        <v>6631</v>
      </c>
      <c r="T15" s="9" t="s">
        <v>6632</v>
      </c>
      <c r="U15" s="82">
        <v>49.81955</v>
      </c>
      <c r="V15" s="82">
        <v>23.980319999999999</v>
      </c>
      <c r="W15" s="16"/>
      <c r="X15" s="16"/>
      <c r="Y15" s="16"/>
      <c r="Z15" s="16"/>
      <c r="AA15" s="16"/>
      <c r="AB15" s="16"/>
      <c r="AC15" s="16"/>
      <c r="AD15" s="17"/>
      <c r="AF15" s="9" t="s">
        <v>47</v>
      </c>
    </row>
    <row r="16" spans="1:32">
      <c r="A16" s="9"/>
      <c r="B16" s="17" t="s">
        <v>6633</v>
      </c>
      <c r="C16" s="17" t="s">
        <v>6634</v>
      </c>
      <c r="D16" s="17" t="s">
        <v>6635</v>
      </c>
      <c r="E16" s="17" t="s">
        <v>6636</v>
      </c>
      <c r="F16" s="17" t="s">
        <v>6523</v>
      </c>
      <c r="G16" s="17" t="s">
        <v>73</v>
      </c>
      <c r="J16" s="81" t="s">
        <v>6637</v>
      </c>
      <c r="K16" s="81" t="s">
        <v>6638</v>
      </c>
      <c r="L16" s="47" t="s">
        <v>6639</v>
      </c>
      <c r="S16" s="47" t="s">
        <v>6640</v>
      </c>
      <c r="T16" s="9" t="s">
        <v>6641</v>
      </c>
      <c r="U16" s="82">
        <v>53.011012800000003</v>
      </c>
      <c r="V16" s="82">
        <v>18.605611400000001</v>
      </c>
      <c r="W16" s="16"/>
      <c r="X16" s="16"/>
      <c r="Y16" s="16"/>
      <c r="Z16" s="16"/>
      <c r="AA16" s="17" t="s">
        <v>47</v>
      </c>
      <c r="AB16" s="16"/>
      <c r="AC16" s="16"/>
      <c r="AD16" s="16"/>
      <c r="AF16" s="9" t="s">
        <v>47</v>
      </c>
    </row>
    <row r="17" spans="1:32">
      <c r="A17" s="9"/>
      <c r="B17" s="17" t="s">
        <v>6642</v>
      </c>
      <c r="C17" s="17" t="s">
        <v>6643</v>
      </c>
      <c r="D17" s="17" t="s">
        <v>6644</v>
      </c>
      <c r="E17" s="17" t="s">
        <v>6645</v>
      </c>
      <c r="F17" s="17" t="s">
        <v>6646</v>
      </c>
      <c r="G17" s="17" t="s">
        <v>73</v>
      </c>
      <c r="J17" s="81" t="s">
        <v>6647</v>
      </c>
      <c r="K17" s="81" t="s">
        <v>6648</v>
      </c>
      <c r="L17" s="47" t="s">
        <v>6649</v>
      </c>
      <c r="S17" s="47" t="s">
        <v>6650</v>
      </c>
      <c r="T17" s="9" t="s">
        <v>6651</v>
      </c>
      <c r="U17" s="82">
        <v>47.486109999999996</v>
      </c>
      <c r="V17" s="82">
        <v>19.06692</v>
      </c>
      <c r="W17" s="16"/>
      <c r="X17" s="16"/>
      <c r="Y17" s="16"/>
      <c r="Z17" s="16"/>
      <c r="AA17" s="16"/>
      <c r="AB17" s="16"/>
      <c r="AC17" s="17"/>
      <c r="AD17" s="16"/>
      <c r="AF17" s="9" t="s">
        <v>47</v>
      </c>
    </row>
    <row r="18" spans="1:32">
      <c r="A18" s="9"/>
      <c r="B18" s="17" t="s">
        <v>6652</v>
      </c>
      <c r="C18" s="17" t="s">
        <v>6653</v>
      </c>
      <c r="D18" s="17" t="s">
        <v>6654</v>
      </c>
      <c r="E18" s="9" t="s">
        <v>6655</v>
      </c>
      <c r="F18" s="17" t="s">
        <v>6541</v>
      </c>
      <c r="G18" s="17" t="s">
        <v>91</v>
      </c>
      <c r="J18" s="81" t="s">
        <v>6656</v>
      </c>
      <c r="K18" s="81" t="s">
        <v>6657</v>
      </c>
      <c r="L18" s="47" t="s">
        <v>6658</v>
      </c>
      <c r="S18" s="47" t="s">
        <v>6659</v>
      </c>
      <c r="T18" s="9" t="s">
        <v>6660</v>
      </c>
      <c r="U18" s="82">
        <v>52.0909531</v>
      </c>
      <c r="V18" s="82">
        <v>14.6504242</v>
      </c>
      <c r="W18" s="16"/>
      <c r="X18" s="16"/>
      <c r="Y18" s="16"/>
      <c r="Z18" s="16"/>
      <c r="AA18" s="17" t="s">
        <v>47</v>
      </c>
      <c r="AB18" s="16"/>
      <c r="AC18" s="16"/>
      <c r="AD18" s="16"/>
      <c r="AF18" s="9" t="s">
        <v>47</v>
      </c>
    </row>
    <row r="19" spans="1:32">
      <c r="A19" s="9"/>
      <c r="B19" s="17" t="s">
        <v>6661</v>
      </c>
      <c r="C19" s="17" t="s">
        <v>6661</v>
      </c>
      <c r="D19" s="17" t="s">
        <v>6625</v>
      </c>
      <c r="E19" s="17" t="s">
        <v>6662</v>
      </c>
      <c r="F19" s="17" t="s">
        <v>6627</v>
      </c>
      <c r="G19" s="17" t="s">
        <v>73</v>
      </c>
      <c r="J19" s="81" t="s">
        <v>6663</v>
      </c>
      <c r="K19" s="81" t="s">
        <v>6664</v>
      </c>
      <c r="L19" s="47" t="s">
        <v>6665</v>
      </c>
      <c r="S19" s="47" t="s">
        <v>6666</v>
      </c>
      <c r="T19" s="9" t="s">
        <v>6667</v>
      </c>
      <c r="U19" s="82">
        <v>49.839305799999998</v>
      </c>
      <c r="V19" s="82">
        <v>24.036149999999999</v>
      </c>
      <c r="W19" s="16"/>
      <c r="X19" s="16"/>
      <c r="Y19" s="16"/>
      <c r="Z19" s="16"/>
      <c r="AA19" s="16"/>
      <c r="AB19" s="16"/>
      <c r="AC19" s="16"/>
      <c r="AD19" s="17"/>
      <c r="AF19" s="9" t="s">
        <v>47</v>
      </c>
    </row>
    <row r="20" spans="1:32">
      <c r="B20" s="9" t="s">
        <v>6668</v>
      </c>
      <c r="C20" s="9" t="s">
        <v>6669</v>
      </c>
      <c r="D20" s="9" t="s">
        <v>6529</v>
      </c>
      <c r="E20" s="9" t="s">
        <v>6670</v>
      </c>
      <c r="F20" s="9" t="s">
        <v>6531</v>
      </c>
      <c r="G20" s="6" t="s">
        <v>38</v>
      </c>
      <c r="J20" s="47" t="s">
        <v>6671</v>
      </c>
      <c r="K20" s="47" t="s">
        <v>6672</v>
      </c>
      <c r="L20" s="47" t="s">
        <v>6673</v>
      </c>
      <c r="S20" s="47" t="s">
        <v>6674</v>
      </c>
      <c r="T20" s="9" t="s">
        <v>6675</v>
      </c>
      <c r="U20" s="9">
        <v>56.965249700000001</v>
      </c>
      <c r="V20" s="9">
        <v>24.130389699999998</v>
      </c>
      <c r="AC20" s="9" t="s">
        <v>47</v>
      </c>
    </row>
    <row r="21" spans="1:32">
      <c r="B21" s="9" t="s">
        <v>6676</v>
      </c>
      <c r="C21" s="9" t="s">
        <v>6677</v>
      </c>
      <c r="D21" s="9" t="s">
        <v>6547</v>
      </c>
      <c r="E21" s="9" t="s">
        <v>6678</v>
      </c>
      <c r="F21" s="9" t="s">
        <v>6519</v>
      </c>
      <c r="G21" s="17" t="s">
        <v>73</v>
      </c>
      <c r="J21" s="47" t="s">
        <v>6679</v>
      </c>
      <c r="L21" s="47" t="s">
        <v>6680</v>
      </c>
      <c r="S21" s="47" t="s">
        <v>6681</v>
      </c>
      <c r="T21" s="9" t="s">
        <v>6682</v>
      </c>
      <c r="U21" s="9">
        <v>54.679876700000001</v>
      </c>
      <c r="V21" s="9">
        <v>25.2866672</v>
      </c>
      <c r="AC21" s="9" t="s">
        <v>47</v>
      </c>
    </row>
    <row r="22" spans="1:32">
      <c r="A22" s="9"/>
      <c r="B22" s="17" t="s">
        <v>6683</v>
      </c>
      <c r="C22" s="17" t="s">
        <v>6684</v>
      </c>
      <c r="D22" s="17" t="s">
        <v>6521</v>
      </c>
      <c r="E22" s="17" t="s">
        <v>6685</v>
      </c>
      <c r="F22" s="17" t="s">
        <v>6523</v>
      </c>
      <c r="G22" s="17" t="s">
        <v>73</v>
      </c>
      <c r="J22" s="47" t="s">
        <v>6686</v>
      </c>
      <c r="K22" s="47" t="s">
        <v>6687</v>
      </c>
      <c r="L22" s="47" t="s">
        <v>6688</v>
      </c>
      <c r="S22" s="47" t="s">
        <v>6689</v>
      </c>
      <c r="T22" s="9" t="s">
        <v>6690</v>
      </c>
      <c r="U22" s="9">
        <v>51.238077500000003</v>
      </c>
      <c r="V22" s="9">
        <v>22.574714400000001</v>
      </c>
      <c r="W22" s="16"/>
      <c r="X22" s="16"/>
      <c r="Y22" s="16"/>
      <c r="Z22" s="16"/>
      <c r="AB22" s="16"/>
      <c r="AC22" s="17" t="s">
        <v>47</v>
      </c>
      <c r="AD22" s="16"/>
      <c r="AF22" s="9" t="s">
        <v>47</v>
      </c>
    </row>
    <row r="23" spans="1:32">
      <c r="B23" s="9" t="s">
        <v>6691</v>
      </c>
      <c r="C23" s="9" t="s">
        <v>6692</v>
      </c>
      <c r="D23" s="9" t="s">
        <v>6590</v>
      </c>
      <c r="E23" s="9" t="s">
        <v>6693</v>
      </c>
      <c r="F23" s="9" t="s">
        <v>6592</v>
      </c>
      <c r="G23" s="17" t="s">
        <v>73</v>
      </c>
      <c r="J23" s="47" t="s">
        <v>6694</v>
      </c>
      <c r="K23" s="47" t="s">
        <v>6695</v>
      </c>
      <c r="L23" s="47" t="s">
        <v>6696</v>
      </c>
      <c r="S23" s="47" t="s">
        <v>6697</v>
      </c>
      <c r="T23" s="9" t="s">
        <v>6698</v>
      </c>
      <c r="U23" s="9">
        <v>40.434775600000002</v>
      </c>
      <c r="V23" s="9">
        <v>-3.6309778000000001</v>
      </c>
      <c r="AC23" s="9" t="s">
        <v>47</v>
      </c>
    </row>
    <row r="24" spans="1:32">
      <c r="A24" s="9"/>
      <c r="B24" s="17" t="s">
        <v>6699</v>
      </c>
      <c r="C24" s="17" t="s">
        <v>6700</v>
      </c>
      <c r="D24" s="17" t="s">
        <v>6701</v>
      </c>
      <c r="E24" s="9" t="s">
        <v>6702</v>
      </c>
      <c r="F24" s="17" t="s">
        <v>6523</v>
      </c>
      <c r="G24" s="17" t="s">
        <v>73</v>
      </c>
      <c r="J24" s="81" t="s">
        <v>6703</v>
      </c>
      <c r="K24" s="81" t="s">
        <v>6704</v>
      </c>
      <c r="L24" s="47" t="s">
        <v>6705</v>
      </c>
      <c r="S24" s="47" t="s">
        <v>6706</v>
      </c>
      <c r="T24" s="9" t="s">
        <v>6707</v>
      </c>
      <c r="U24" s="82">
        <v>50.29589</v>
      </c>
      <c r="V24" s="82">
        <v>18.667899999999999</v>
      </c>
      <c r="W24" s="16"/>
      <c r="X24" s="16"/>
      <c r="Y24" s="16"/>
      <c r="Z24" s="16"/>
      <c r="AA24" s="16"/>
      <c r="AB24" s="16"/>
      <c r="AC24" s="16"/>
      <c r="AD24" s="17"/>
      <c r="AF24" s="9" t="s">
        <v>47</v>
      </c>
    </row>
    <row r="25" spans="1:32">
      <c r="A25" s="9"/>
      <c r="B25" s="17" t="s">
        <v>6708</v>
      </c>
      <c r="C25" s="17" t="s">
        <v>6709</v>
      </c>
      <c r="D25" s="17" t="s">
        <v>6710</v>
      </c>
      <c r="E25" s="9" t="s">
        <v>6711</v>
      </c>
      <c r="F25" s="17" t="s">
        <v>6523</v>
      </c>
      <c r="G25" s="17" t="s">
        <v>73</v>
      </c>
      <c r="J25" s="47" t="s">
        <v>6712</v>
      </c>
      <c r="K25" s="47" t="s">
        <v>6713</v>
      </c>
      <c r="L25" s="47" t="s">
        <v>6714</v>
      </c>
      <c r="S25" s="47" t="s">
        <v>6715</v>
      </c>
      <c r="T25" s="9" t="s">
        <v>6716</v>
      </c>
      <c r="U25" s="82">
        <v>50.257240000000003</v>
      </c>
      <c r="V25" s="82">
        <v>19.026330000000002</v>
      </c>
      <c r="W25" s="16"/>
      <c r="X25" s="16"/>
      <c r="Y25" s="16"/>
      <c r="Z25" s="16"/>
      <c r="AA25" s="16"/>
      <c r="AB25" s="16"/>
      <c r="AC25" s="16"/>
      <c r="AD25" s="17"/>
      <c r="AF25" s="9" t="s">
        <v>47</v>
      </c>
    </row>
    <row r="26" spans="1:32">
      <c r="A26" s="9"/>
      <c r="B26" s="17" t="s">
        <v>6717</v>
      </c>
      <c r="C26" s="17" t="s">
        <v>6718</v>
      </c>
      <c r="D26" s="17" t="s">
        <v>6719</v>
      </c>
      <c r="E26" s="17" t="s">
        <v>6720</v>
      </c>
      <c r="F26" s="17" t="s">
        <v>6523</v>
      </c>
      <c r="G26" s="17" t="s">
        <v>73</v>
      </c>
      <c r="J26" s="47" t="s">
        <v>6721</v>
      </c>
      <c r="K26" s="47" t="s">
        <v>6722</v>
      </c>
      <c r="L26" s="47" t="s">
        <v>6723</v>
      </c>
      <c r="S26" s="47" t="s">
        <v>6724</v>
      </c>
      <c r="T26" s="9" t="s">
        <v>6725</v>
      </c>
      <c r="U26" s="82">
        <v>49.820689999999999</v>
      </c>
      <c r="V26" s="82">
        <v>19.0416022</v>
      </c>
      <c r="W26" s="16"/>
      <c r="X26" s="16"/>
      <c r="Y26" s="16"/>
      <c r="Z26" s="16"/>
      <c r="AA26" s="16"/>
      <c r="AB26" s="16"/>
      <c r="AC26" s="17"/>
      <c r="AD26" s="16"/>
      <c r="AF26" s="9" t="s">
        <v>47</v>
      </c>
    </row>
    <row r="27" spans="1:32">
      <c r="A27" s="9"/>
      <c r="B27" s="17" t="s">
        <v>6726</v>
      </c>
      <c r="C27" s="17" t="s">
        <v>6727</v>
      </c>
      <c r="D27" s="17" t="s">
        <v>6728</v>
      </c>
      <c r="E27" s="17" t="s">
        <v>6729</v>
      </c>
      <c r="F27" s="17" t="s">
        <v>6541</v>
      </c>
      <c r="G27" s="17" t="s">
        <v>73</v>
      </c>
      <c r="J27" s="47" t="s">
        <v>6730</v>
      </c>
      <c r="K27" s="9"/>
      <c r="L27" s="47" t="s">
        <v>6731</v>
      </c>
      <c r="S27" s="47" t="s">
        <v>6732</v>
      </c>
      <c r="T27" s="9" t="s">
        <v>6733</v>
      </c>
      <c r="U27" s="82">
        <v>51.143921900000002</v>
      </c>
      <c r="V27" s="82">
        <v>14.9940997</v>
      </c>
      <c r="W27" s="16"/>
      <c r="X27" s="16"/>
      <c r="Y27" s="16"/>
      <c r="Z27" s="16"/>
      <c r="AA27" s="17" t="s">
        <v>47</v>
      </c>
      <c r="AB27" s="16"/>
      <c r="AC27" s="16"/>
      <c r="AD27" s="16"/>
      <c r="AF27" s="9" t="s">
        <v>47</v>
      </c>
    </row>
    <row r="28" spans="1:32">
      <c r="A28" s="9"/>
      <c r="B28" s="17" t="s">
        <v>6734</v>
      </c>
      <c r="C28" s="17" t="s">
        <v>6735</v>
      </c>
      <c r="D28" s="17" t="s">
        <v>6625</v>
      </c>
      <c r="E28" s="17" t="s">
        <v>6736</v>
      </c>
      <c r="F28" s="17" t="s">
        <v>6627</v>
      </c>
      <c r="G28" s="17" t="s">
        <v>73</v>
      </c>
      <c r="J28" s="81" t="s">
        <v>6737</v>
      </c>
      <c r="K28" s="81" t="s">
        <v>6738</v>
      </c>
      <c r="L28" s="47" t="s">
        <v>6739</v>
      </c>
      <c r="S28" s="47" t="s">
        <v>6740</v>
      </c>
      <c r="T28" s="9" t="s">
        <v>6741</v>
      </c>
      <c r="U28" s="17">
        <v>49.842080000000003</v>
      </c>
      <c r="V28" s="17">
        <v>24.030419999999999</v>
      </c>
      <c r="W28" s="16"/>
      <c r="X28" s="16"/>
      <c r="Y28" s="16"/>
      <c r="Z28" s="16"/>
      <c r="AA28" s="16"/>
      <c r="AB28" s="16"/>
      <c r="AC28" s="16"/>
      <c r="AD28" s="17"/>
      <c r="AF28" s="9" t="s">
        <v>47</v>
      </c>
    </row>
    <row r="29" spans="1:32">
      <c r="B29" s="9" t="s">
        <v>6742</v>
      </c>
      <c r="C29" s="9" t="s">
        <v>6743</v>
      </c>
      <c r="D29" s="9" t="s">
        <v>6547</v>
      </c>
      <c r="E29" s="9" t="s">
        <v>6744</v>
      </c>
      <c r="F29" s="9" t="s">
        <v>6519</v>
      </c>
      <c r="G29" s="17" t="s">
        <v>6524</v>
      </c>
      <c r="L29" s="47" t="s">
        <v>6745</v>
      </c>
      <c r="S29" s="47" t="s">
        <v>6746</v>
      </c>
      <c r="T29" s="9" t="s">
        <v>6748</v>
      </c>
      <c r="U29" s="9">
        <v>54.686613100000002</v>
      </c>
      <c r="V29" s="9">
        <v>25.2834875</v>
      </c>
      <c r="AC29" s="9" t="s">
        <v>47</v>
      </c>
    </row>
    <row r="30" spans="1:32">
      <c r="B30" s="9" t="s">
        <v>6749</v>
      </c>
      <c r="C30" s="9" t="s">
        <v>6750</v>
      </c>
      <c r="D30" s="9" t="s">
        <v>6345</v>
      </c>
      <c r="E30" s="9" t="s">
        <v>6751</v>
      </c>
      <c r="F30" s="9" t="s">
        <v>6541</v>
      </c>
      <c r="G30" s="17" t="s">
        <v>73</v>
      </c>
      <c r="J30" s="47" t="s">
        <v>6752</v>
      </c>
      <c r="K30" s="47" t="s">
        <v>6753</v>
      </c>
      <c r="L30" s="47" t="s">
        <v>6754</v>
      </c>
      <c r="S30" s="47" t="s">
        <v>6755</v>
      </c>
      <c r="T30" s="9" t="s">
        <v>6756</v>
      </c>
      <c r="U30" s="9">
        <v>53.563187200000002</v>
      </c>
      <c r="V30" s="9">
        <v>9.9684258000000003</v>
      </c>
      <c r="AC30" s="9" t="s">
        <v>47</v>
      </c>
      <c r="AD30" s="9"/>
    </row>
    <row r="31" spans="1:32">
      <c r="A31" s="9"/>
      <c r="B31" s="17" t="s">
        <v>6757</v>
      </c>
      <c r="C31" s="17" t="s">
        <v>6758</v>
      </c>
      <c r="D31" s="17" t="s">
        <v>6759</v>
      </c>
      <c r="E31" s="17" t="s">
        <v>6760</v>
      </c>
      <c r="F31" s="17" t="s">
        <v>6523</v>
      </c>
      <c r="G31" s="17" t="s">
        <v>73</v>
      </c>
      <c r="J31" s="81" t="s">
        <v>6761</v>
      </c>
      <c r="K31" s="81" t="s">
        <v>6762</v>
      </c>
      <c r="L31" s="47" t="s">
        <v>6763</v>
      </c>
      <c r="S31" s="47" t="s">
        <v>6764</v>
      </c>
      <c r="T31" s="9" t="s">
        <v>6765</v>
      </c>
      <c r="U31" s="9">
        <v>50.294214699999998</v>
      </c>
      <c r="V31" s="9">
        <v>18.953113599999998</v>
      </c>
      <c r="W31" s="16"/>
      <c r="X31" s="16"/>
      <c r="Y31" s="16"/>
      <c r="Z31" s="16"/>
      <c r="AA31" s="16"/>
      <c r="AB31" s="16"/>
      <c r="AC31" s="16"/>
      <c r="AD31" s="17" t="s">
        <v>47</v>
      </c>
      <c r="AF31" s="9" t="s">
        <v>47</v>
      </c>
    </row>
    <row r="32" spans="1:32">
      <c r="A32" s="9"/>
      <c r="B32" s="17" t="s">
        <v>6767</v>
      </c>
      <c r="C32" s="17" t="s">
        <v>6768</v>
      </c>
      <c r="D32" s="17" t="s">
        <v>6769</v>
      </c>
      <c r="E32" s="17" t="s">
        <v>6770</v>
      </c>
      <c r="F32" s="17" t="s">
        <v>6523</v>
      </c>
      <c r="G32" s="17" t="s">
        <v>73</v>
      </c>
      <c r="J32" s="16"/>
      <c r="K32" s="81" t="s">
        <v>6771</v>
      </c>
      <c r="L32" s="47" t="s">
        <v>6772</v>
      </c>
      <c r="S32" s="47" t="s">
        <v>6773</v>
      </c>
      <c r="T32" s="9" t="s">
        <v>6774</v>
      </c>
      <c r="U32" s="9">
        <v>50.092554999999997</v>
      </c>
      <c r="V32" s="9">
        <v>18.219608300000001</v>
      </c>
      <c r="W32" s="16"/>
      <c r="X32" s="16"/>
      <c r="Y32" s="16"/>
      <c r="Z32" s="16"/>
      <c r="AA32" s="16"/>
      <c r="AB32" s="17" t="s">
        <v>47</v>
      </c>
      <c r="AC32" s="16"/>
      <c r="AD32" s="16"/>
      <c r="AF32" s="9" t="s">
        <v>47</v>
      </c>
    </row>
    <row r="33" spans="1:32">
      <c r="A33" s="9"/>
      <c r="B33" s="17" t="s">
        <v>6776</v>
      </c>
      <c r="C33" s="17" t="s">
        <v>6777</v>
      </c>
      <c r="D33" s="17" t="s">
        <v>6778</v>
      </c>
      <c r="E33" s="17" t="s">
        <v>6779</v>
      </c>
      <c r="F33" s="17" t="s">
        <v>6523</v>
      </c>
      <c r="G33" s="17" t="s">
        <v>73</v>
      </c>
      <c r="J33" s="81" t="s">
        <v>6780</v>
      </c>
      <c r="K33" s="81" t="s">
        <v>6781</v>
      </c>
      <c r="L33" s="47" t="s">
        <v>6782</v>
      </c>
      <c r="S33" s="47" t="s">
        <v>6783</v>
      </c>
      <c r="T33" s="9" t="s">
        <v>6784</v>
      </c>
      <c r="U33" s="82">
        <v>51.109975800000001</v>
      </c>
      <c r="V33" s="82">
        <v>17.031158600000001</v>
      </c>
      <c r="W33" s="16"/>
      <c r="X33" s="17"/>
      <c r="Y33" s="16"/>
      <c r="Z33" s="16"/>
      <c r="AA33" s="16"/>
      <c r="AB33" s="16"/>
      <c r="AC33" s="16"/>
      <c r="AD33" s="16"/>
      <c r="AF33" s="9" t="s">
        <v>47</v>
      </c>
    </row>
    <row r="34" spans="1:32">
      <c r="A34" s="9"/>
      <c r="B34" s="17" t="s">
        <v>6785</v>
      </c>
      <c r="C34" s="17" t="s">
        <v>6786</v>
      </c>
      <c r="D34" s="17" t="s">
        <v>6625</v>
      </c>
      <c r="E34" s="17" t="s">
        <v>6787</v>
      </c>
      <c r="F34" s="17" t="s">
        <v>6627</v>
      </c>
      <c r="G34" s="17" t="s">
        <v>73</v>
      </c>
      <c r="J34" s="81" t="s">
        <v>6788</v>
      </c>
      <c r="K34" s="81" t="s">
        <v>6789</v>
      </c>
      <c r="L34" s="47" t="s">
        <v>6790</v>
      </c>
      <c r="S34" s="47" t="s">
        <v>6791</v>
      </c>
      <c r="T34" s="9" t="s">
        <v>6792</v>
      </c>
      <c r="U34" s="82">
        <v>49.838900000000002</v>
      </c>
      <c r="V34" s="82">
        <v>24.037410000000001</v>
      </c>
      <c r="W34" s="16"/>
      <c r="X34" s="16"/>
      <c r="Y34" s="16"/>
      <c r="Z34" s="16"/>
      <c r="AA34" s="16"/>
      <c r="AB34" s="16"/>
      <c r="AC34" s="16"/>
      <c r="AD34" s="17"/>
      <c r="AF34" s="9" t="s">
        <v>47</v>
      </c>
    </row>
    <row r="35" spans="1:32">
      <c r="B35" s="9" t="s">
        <v>6785</v>
      </c>
      <c r="C35" s="9" t="s">
        <v>6793</v>
      </c>
      <c r="D35" s="9" t="s">
        <v>6529</v>
      </c>
      <c r="E35" s="9" t="s">
        <v>6794</v>
      </c>
      <c r="F35" s="9" t="s">
        <v>6531</v>
      </c>
      <c r="G35" s="17" t="s">
        <v>73</v>
      </c>
      <c r="J35" s="81" t="s">
        <v>6788</v>
      </c>
      <c r="K35" s="47" t="s">
        <v>6795</v>
      </c>
      <c r="L35" s="47" t="s">
        <v>6790</v>
      </c>
      <c r="S35" s="47" t="s">
        <v>6796</v>
      </c>
      <c r="T35" s="9" t="s">
        <v>6797</v>
      </c>
      <c r="U35" s="9">
        <v>56.953043299999997</v>
      </c>
      <c r="V35" s="9">
        <v>24.0993292</v>
      </c>
      <c r="AC35" s="9" t="s">
        <v>47</v>
      </c>
    </row>
    <row r="36" spans="1:32">
      <c r="A36" s="9"/>
      <c r="B36" s="17" t="s">
        <v>6798</v>
      </c>
      <c r="C36" s="17" t="s">
        <v>6799</v>
      </c>
      <c r="D36" s="17" t="s">
        <v>6556</v>
      </c>
      <c r="E36" s="17" t="s">
        <v>6800</v>
      </c>
      <c r="F36" s="17" t="s">
        <v>6523</v>
      </c>
      <c r="G36" s="17" t="s">
        <v>73</v>
      </c>
      <c r="J36" s="81" t="s">
        <v>6801</v>
      </c>
      <c r="K36" s="81" t="s">
        <v>6802</v>
      </c>
      <c r="L36" s="47" t="s">
        <v>6803</v>
      </c>
      <c r="S36" s="47" t="s">
        <v>6804</v>
      </c>
      <c r="T36" s="9" t="s">
        <v>6805</v>
      </c>
      <c r="U36" s="82">
        <v>50.050055800000003</v>
      </c>
      <c r="V36" s="82">
        <v>19.9364603</v>
      </c>
      <c r="W36" s="16"/>
      <c r="X36" s="16"/>
      <c r="Y36" s="16"/>
      <c r="Z36" s="16"/>
      <c r="AA36" s="17" t="s">
        <v>47</v>
      </c>
      <c r="AB36" s="16"/>
      <c r="AC36" s="16"/>
      <c r="AD36" s="16"/>
      <c r="AF36" s="9" t="s">
        <v>47</v>
      </c>
    </row>
    <row r="37" spans="1:32">
      <c r="A37" s="9"/>
      <c r="B37" s="61" t="s">
        <v>6806</v>
      </c>
      <c r="C37" s="17" t="s">
        <v>6807</v>
      </c>
      <c r="D37" s="17" t="s">
        <v>6808</v>
      </c>
      <c r="E37" s="17" t="s">
        <v>6809</v>
      </c>
      <c r="F37" s="17" t="s">
        <v>6541</v>
      </c>
      <c r="G37" s="17" t="s">
        <v>73</v>
      </c>
      <c r="J37" s="81" t="s">
        <v>6810</v>
      </c>
      <c r="K37" s="81" t="s">
        <v>6811</v>
      </c>
      <c r="L37" s="47" t="s">
        <v>6812</v>
      </c>
      <c r="S37" s="47" t="s">
        <v>6813</v>
      </c>
      <c r="T37" s="9" t="s">
        <v>6814</v>
      </c>
      <c r="U37" s="82">
        <v>53.737057800000002</v>
      </c>
      <c r="V37" s="82">
        <v>14.0462822</v>
      </c>
      <c r="W37" s="16"/>
      <c r="X37" s="16"/>
      <c r="Y37" s="16"/>
      <c r="Z37" s="16"/>
      <c r="AA37" s="17" t="s">
        <v>47</v>
      </c>
      <c r="AB37" s="16"/>
      <c r="AC37" s="16"/>
      <c r="AD37" s="16"/>
      <c r="AF37" s="9" t="s">
        <v>47</v>
      </c>
    </row>
    <row r="38" spans="1:32">
      <c r="A38" s="9"/>
      <c r="B38" s="17" t="s">
        <v>6815</v>
      </c>
      <c r="C38" s="17" t="s">
        <v>6816</v>
      </c>
      <c r="D38" s="17" t="s">
        <v>6817</v>
      </c>
      <c r="E38" s="17" t="s">
        <v>6818</v>
      </c>
      <c r="F38" s="17" t="s">
        <v>6523</v>
      </c>
      <c r="G38" s="17" t="s">
        <v>73</v>
      </c>
      <c r="J38" s="47" t="s">
        <v>6819</v>
      </c>
      <c r="K38" s="47" t="s">
        <v>6820</v>
      </c>
      <c r="L38" s="47" t="s">
        <v>6821</v>
      </c>
      <c r="S38" s="47" t="s">
        <v>6822</v>
      </c>
      <c r="T38" s="9" t="s">
        <v>6823</v>
      </c>
      <c r="U38" s="9">
        <v>53.412137889999997</v>
      </c>
      <c r="V38" s="9">
        <v>17.994818899999999</v>
      </c>
      <c r="W38" s="16"/>
      <c r="X38" s="16"/>
      <c r="Y38" s="16"/>
      <c r="Z38" s="16"/>
      <c r="AA38" s="17" t="s">
        <v>47</v>
      </c>
      <c r="AB38" s="16"/>
      <c r="AC38" s="16"/>
      <c r="AD38" s="16"/>
      <c r="AF38" s="9" t="s">
        <v>47</v>
      </c>
    </row>
    <row r="39" spans="1:32">
      <c r="A39" s="9"/>
      <c r="B39" s="17" t="s">
        <v>6824</v>
      </c>
      <c r="C39" s="17" t="s">
        <v>6825</v>
      </c>
      <c r="D39" s="17" t="s">
        <v>6824</v>
      </c>
      <c r="E39" s="17" t="s">
        <v>6826</v>
      </c>
      <c r="F39" s="17" t="s">
        <v>6523</v>
      </c>
      <c r="G39" s="17" t="s">
        <v>73</v>
      </c>
      <c r="J39" s="47" t="s">
        <v>6827</v>
      </c>
      <c r="K39" s="47" t="s">
        <v>6828</v>
      </c>
      <c r="L39" s="47" t="s">
        <v>6829</v>
      </c>
      <c r="S39" s="47" t="s">
        <v>6830</v>
      </c>
      <c r="T39" s="9" t="s">
        <v>6831</v>
      </c>
      <c r="U39" s="9">
        <v>50.711951900000003</v>
      </c>
      <c r="V39" s="9">
        <v>23.255514699999999</v>
      </c>
      <c r="W39" s="16"/>
      <c r="X39" s="16"/>
      <c r="Y39" s="16"/>
      <c r="Z39" s="16"/>
      <c r="AA39" s="16"/>
      <c r="AB39" s="16"/>
      <c r="AC39" s="17" t="s">
        <v>47</v>
      </c>
      <c r="AD39" s="16"/>
      <c r="AF39" s="9" t="s">
        <v>47</v>
      </c>
    </row>
    <row r="40" spans="1:32">
      <c r="B40" s="9" t="s">
        <v>6832</v>
      </c>
      <c r="C40" s="9" t="s">
        <v>6833</v>
      </c>
      <c r="D40" s="9" t="s">
        <v>6834</v>
      </c>
      <c r="E40" s="17" t="s">
        <v>6835</v>
      </c>
      <c r="F40" s="17" t="s">
        <v>6541</v>
      </c>
      <c r="G40" s="17" t="s">
        <v>6836</v>
      </c>
      <c r="J40" s="47" t="s">
        <v>6837</v>
      </c>
      <c r="K40" s="47" t="s">
        <v>6838</v>
      </c>
      <c r="L40" s="47" t="s">
        <v>6839</v>
      </c>
      <c r="S40" s="47" t="s">
        <v>6840</v>
      </c>
      <c r="T40" s="9" t="s">
        <v>6841</v>
      </c>
      <c r="U40" s="9">
        <v>51.047739999999997</v>
      </c>
      <c r="V40" s="9">
        <v>13.7352078</v>
      </c>
      <c r="Z40" s="9" t="s">
        <v>47</v>
      </c>
    </row>
    <row r="41" spans="1:32">
      <c r="B41" s="9" t="s">
        <v>6842</v>
      </c>
      <c r="C41" s="9" t="s">
        <v>6843</v>
      </c>
      <c r="D41" s="9" t="s">
        <v>6844</v>
      </c>
      <c r="E41" s="9" t="s">
        <v>6845</v>
      </c>
      <c r="F41" s="9" t="s">
        <v>6523</v>
      </c>
      <c r="G41" s="9" t="s">
        <v>73</v>
      </c>
      <c r="J41" s="47" t="s">
        <v>6846</v>
      </c>
      <c r="K41" s="47" t="s">
        <v>6847</v>
      </c>
      <c r="L41" s="47" t="s">
        <v>6848</v>
      </c>
      <c r="S41" s="47" t="s">
        <v>6849</v>
      </c>
      <c r="T41" s="9" t="s">
        <v>6850</v>
      </c>
      <c r="U41" s="9">
        <v>52.240502200000002</v>
      </c>
      <c r="V41" s="9">
        <v>21.0160336</v>
      </c>
      <c r="AE41" s="9" t="s">
        <v>47</v>
      </c>
      <c r="AF41" s="9" t="s">
        <v>47</v>
      </c>
    </row>
    <row r="42" spans="1:32">
      <c r="B42" s="9" t="s">
        <v>6851</v>
      </c>
      <c r="C42" s="9" t="s">
        <v>6852</v>
      </c>
      <c r="D42" s="9" t="s">
        <v>6853</v>
      </c>
      <c r="E42" s="9" t="s">
        <v>6854</v>
      </c>
      <c r="F42" s="9" t="s">
        <v>6855</v>
      </c>
      <c r="G42" s="9" t="s">
        <v>73</v>
      </c>
      <c r="J42" s="47" t="s">
        <v>6856</v>
      </c>
      <c r="K42" s="47" t="s">
        <v>6857</v>
      </c>
      <c r="L42" s="47" t="s">
        <v>6858</v>
      </c>
      <c r="S42" s="47" t="s">
        <v>6859</v>
      </c>
      <c r="T42" s="9" t="s">
        <v>6860</v>
      </c>
      <c r="U42" s="9">
        <v>53.934361699999997</v>
      </c>
      <c r="V42" s="9">
        <v>27.648188900000001</v>
      </c>
      <c r="AE42" s="9" t="s">
        <v>47</v>
      </c>
      <c r="AF42" s="9" t="s">
        <v>47</v>
      </c>
    </row>
    <row r="43" spans="1:32">
      <c r="B43" s="9" t="s">
        <v>6861</v>
      </c>
      <c r="C43" s="9" t="s">
        <v>6862</v>
      </c>
      <c r="D43" s="9" t="s">
        <v>6853</v>
      </c>
      <c r="E43" s="9" t="s">
        <v>6863</v>
      </c>
      <c r="F43" s="9" t="s">
        <v>6855</v>
      </c>
      <c r="G43" s="9" t="s">
        <v>73</v>
      </c>
      <c r="J43" s="47" t="s">
        <v>6864</v>
      </c>
      <c r="K43" s="47" t="s">
        <v>6865</v>
      </c>
      <c r="L43" s="47" t="s">
        <v>6866</v>
      </c>
      <c r="S43" s="47" t="s">
        <v>6867</v>
      </c>
      <c r="T43" s="9" t="s">
        <v>6868</v>
      </c>
      <c r="U43" s="9">
        <v>53.928134700000001</v>
      </c>
      <c r="V43" s="9">
        <v>27.568180000000002</v>
      </c>
      <c r="AE43" s="9" t="s">
        <v>47</v>
      </c>
      <c r="AF43" s="9" t="s">
        <v>47</v>
      </c>
    </row>
    <row r="44" spans="1:32">
      <c r="B44" s="9" t="s">
        <v>6869</v>
      </c>
      <c r="C44" s="9" t="s">
        <v>6870</v>
      </c>
      <c r="D44" s="9" t="s">
        <v>6853</v>
      </c>
      <c r="E44" s="9" t="s">
        <v>6871</v>
      </c>
      <c r="F44" s="9" t="s">
        <v>6855</v>
      </c>
      <c r="G44" s="9" t="s">
        <v>73</v>
      </c>
      <c r="J44" s="47" t="s">
        <v>6872</v>
      </c>
      <c r="K44" s="47" t="s">
        <v>6873</v>
      </c>
      <c r="L44" s="47" t="s">
        <v>6874</v>
      </c>
      <c r="S44" s="47" t="s">
        <v>6875</v>
      </c>
      <c r="T44" s="9" t="s">
        <v>6876</v>
      </c>
      <c r="U44" s="9">
        <v>53.904858099999998</v>
      </c>
      <c r="V44" s="9">
        <v>27.5401475</v>
      </c>
      <c r="AE44" s="9" t="s">
        <v>47</v>
      </c>
      <c r="AF44" s="9" t="s">
        <v>47</v>
      </c>
    </row>
    <row r="45" spans="1:32">
      <c r="B45" s="9" t="s">
        <v>6877</v>
      </c>
      <c r="C45" s="9" t="s">
        <v>6878</v>
      </c>
      <c r="D45" s="9" t="s">
        <v>6853</v>
      </c>
      <c r="E45" s="9" t="s">
        <v>6879</v>
      </c>
      <c r="F45" s="9" t="s">
        <v>6855</v>
      </c>
      <c r="G45" s="9" t="s">
        <v>57</v>
      </c>
      <c r="J45" s="47" t="s">
        <v>6880</v>
      </c>
      <c r="K45" s="47" t="s">
        <v>6881</v>
      </c>
      <c r="L45" s="47" t="s">
        <v>6882</v>
      </c>
      <c r="S45" s="47" t="s">
        <v>6883</v>
      </c>
      <c r="T45" s="9" t="s">
        <v>6884</v>
      </c>
      <c r="U45" s="9">
        <v>53.913613099999999</v>
      </c>
      <c r="V45" s="9">
        <v>27.5077736</v>
      </c>
      <c r="AE45" s="9" t="s">
        <v>47</v>
      </c>
      <c r="AF45" s="9" t="s">
        <v>47</v>
      </c>
    </row>
    <row r="46" spans="1:32">
      <c r="B46" s="61" t="s">
        <v>6885</v>
      </c>
      <c r="C46" s="9" t="s">
        <v>6886</v>
      </c>
      <c r="D46" s="9" t="s">
        <v>6887</v>
      </c>
      <c r="E46" s="9" t="s">
        <v>6888</v>
      </c>
      <c r="F46" s="9" t="s">
        <v>6889</v>
      </c>
      <c r="G46" s="17" t="s">
        <v>6836</v>
      </c>
      <c r="K46" s="47" t="s">
        <v>6890</v>
      </c>
      <c r="L46" s="47" t="s">
        <v>6891</v>
      </c>
      <c r="S46" s="47" t="s">
        <v>6892</v>
      </c>
      <c r="T46" s="9" t="s">
        <v>6893</v>
      </c>
      <c r="U46" s="9">
        <v>41.878914999999999</v>
      </c>
      <c r="V46" s="9">
        <v>12.4685983</v>
      </c>
      <c r="AA46" s="9" t="s">
        <v>47</v>
      </c>
    </row>
    <row r="47" spans="1:32">
      <c r="B47" s="9" t="s">
        <v>6894</v>
      </c>
      <c r="C47" s="9" t="s">
        <v>6895</v>
      </c>
      <c r="D47" s="9" t="s">
        <v>6853</v>
      </c>
      <c r="E47" s="9" t="s">
        <v>6879</v>
      </c>
      <c r="F47" s="9" t="s">
        <v>6855</v>
      </c>
      <c r="G47" s="17" t="s">
        <v>6836</v>
      </c>
      <c r="L47" s="47" t="s">
        <v>6882</v>
      </c>
      <c r="S47" s="47" t="s">
        <v>6883</v>
      </c>
      <c r="T47" s="9" t="s">
        <v>6896</v>
      </c>
      <c r="U47" s="9">
        <v>53.9135183</v>
      </c>
      <c r="V47" s="9">
        <v>27.507907500000002</v>
      </c>
    </row>
    <row r="48" spans="1:32">
      <c r="B48" s="9" t="s">
        <v>6897</v>
      </c>
      <c r="C48" s="9" t="s">
        <v>6898</v>
      </c>
      <c r="D48" s="9" t="s">
        <v>6899</v>
      </c>
      <c r="E48" s="9" t="s">
        <v>6900</v>
      </c>
      <c r="F48" s="9" t="s">
        <v>6855</v>
      </c>
      <c r="G48" s="17" t="s">
        <v>6836</v>
      </c>
      <c r="K48" s="47" t="s">
        <v>6901</v>
      </c>
      <c r="L48" s="47" t="s">
        <v>6902</v>
      </c>
      <c r="S48" s="47" t="s">
        <v>6903</v>
      </c>
      <c r="T48" s="9" t="s">
        <v>6904</v>
      </c>
      <c r="U48" s="9">
        <v>52.089890599999997</v>
      </c>
      <c r="V48" s="9">
        <v>23.694278300000001</v>
      </c>
    </row>
    <row r="49" spans="2:32">
      <c r="B49" s="9" t="s">
        <v>6905</v>
      </c>
      <c r="C49" s="9" t="s">
        <v>6905</v>
      </c>
      <c r="D49" s="9" t="s">
        <v>6906</v>
      </c>
      <c r="F49" s="9" t="s">
        <v>6907</v>
      </c>
      <c r="G49" s="9" t="s">
        <v>38</v>
      </c>
      <c r="AE49" s="9" t="s">
        <v>47</v>
      </c>
      <c r="AF49" s="9" t="s">
        <v>47</v>
      </c>
    </row>
    <row r="50" spans="2:32">
      <c r="B50" s="9" t="s">
        <v>6908</v>
      </c>
      <c r="C50" s="9" t="s">
        <v>6908</v>
      </c>
      <c r="D50" s="9" t="s">
        <v>6909</v>
      </c>
      <c r="F50" s="9" t="s">
        <v>6907</v>
      </c>
      <c r="G50" s="9" t="s">
        <v>6836</v>
      </c>
      <c r="AE50" s="9" t="s">
        <v>47</v>
      </c>
      <c r="AF50" s="9" t="s">
        <v>47</v>
      </c>
    </row>
    <row r="51" spans="2:32">
      <c r="B51" s="9" t="s">
        <v>6910</v>
      </c>
      <c r="C51" s="9" t="s">
        <v>6910</v>
      </c>
      <c r="D51" s="9" t="s">
        <v>6911</v>
      </c>
      <c r="F51" s="9" t="s">
        <v>6907</v>
      </c>
      <c r="G51" s="17" t="s">
        <v>6836</v>
      </c>
      <c r="AE51" s="9" t="s">
        <v>47</v>
      </c>
      <c r="AF51" s="9" t="s">
        <v>47</v>
      </c>
    </row>
  </sheetData>
  <hyperlinks>
    <hyperlink ref="J2" r:id="rId1"/>
    <hyperlink ref="K2" r:id="rId2"/>
    <hyperlink ref="L2" r:id="rId3"/>
    <hyperlink ref="S2" r:id="rId4"/>
    <hyperlink ref="L3" r:id="rId5"/>
    <hyperlink ref="S3" r:id="rId6"/>
    <hyperlink ref="J4" r:id="rId7"/>
    <hyperlink ref="K4" r:id="rId8"/>
    <hyperlink ref="L4" r:id="rId9"/>
    <hyperlink ref="S4" r:id="rId10"/>
    <hyperlink ref="J5" r:id="rId11"/>
    <hyperlink ref="L5" r:id="rId12"/>
    <hyperlink ref="S5" r:id="rId13"/>
    <hyperlink ref="J6" r:id="rId14"/>
    <hyperlink ref="K6" r:id="rId15"/>
    <hyperlink ref="L6" r:id="rId16"/>
    <hyperlink ref="S6" r:id="rId17"/>
    <hyperlink ref="J7" r:id="rId18"/>
    <hyperlink ref="K7" r:id="rId19"/>
    <hyperlink ref="L7" r:id="rId20"/>
    <hyperlink ref="S7" r:id="rId21"/>
    <hyperlink ref="L8" r:id="rId22"/>
    <hyperlink ref="S8" r:id="rId23"/>
    <hyperlink ref="J9" r:id="rId24"/>
    <hyperlink ref="K9" r:id="rId25"/>
    <hyperlink ref="L9" r:id="rId26"/>
    <hyperlink ref="S9" r:id="rId27"/>
    <hyperlink ref="J10" r:id="rId28"/>
    <hyperlink ref="L10" r:id="rId29"/>
    <hyperlink ref="S10" r:id="rId30"/>
    <hyperlink ref="J11" r:id="rId31"/>
    <hyperlink ref="K11" r:id="rId32"/>
    <hyperlink ref="L11" r:id="rId33"/>
    <hyperlink ref="S11" r:id="rId34"/>
    <hyperlink ref="J12" r:id="rId35"/>
    <hyperlink ref="K12" r:id="rId36"/>
    <hyperlink ref="L12" r:id="rId37"/>
    <hyperlink ref="S12" r:id="rId38"/>
    <hyperlink ref="J13" r:id="rId39"/>
    <hyperlink ref="K13" r:id="rId40"/>
    <hyperlink ref="L13" r:id="rId41"/>
    <hyperlink ref="M13" r:id="rId42"/>
    <hyperlink ref="S13" r:id="rId43"/>
    <hyperlink ref="J14" r:id="rId44"/>
    <hyperlink ref="K14" r:id="rId45"/>
    <hyperlink ref="L14" r:id="rId46"/>
    <hyperlink ref="S14" r:id="rId47"/>
    <hyperlink ref="J15" r:id="rId48"/>
    <hyperlink ref="K15" r:id="rId49"/>
    <hyperlink ref="L15" r:id="rId50"/>
    <hyperlink ref="S15" r:id="rId51"/>
    <hyperlink ref="J16" r:id="rId52"/>
    <hyperlink ref="K16" r:id="rId53"/>
    <hyperlink ref="L16" r:id="rId54"/>
    <hyperlink ref="S16" r:id="rId55"/>
    <hyperlink ref="J17" r:id="rId56"/>
    <hyperlink ref="K17" r:id="rId57"/>
    <hyperlink ref="L17" r:id="rId58"/>
    <hyperlink ref="S17" r:id="rId59"/>
    <hyperlink ref="J18" r:id="rId60"/>
    <hyperlink ref="K18" r:id="rId61"/>
    <hyperlink ref="L18" r:id="rId62"/>
    <hyperlink ref="S18" r:id="rId63"/>
    <hyperlink ref="J19" r:id="rId64"/>
    <hyperlink ref="K19" r:id="rId65"/>
    <hyperlink ref="L19" r:id="rId66"/>
    <hyperlink ref="S19" r:id="rId67"/>
    <hyperlink ref="J20" r:id="rId68"/>
    <hyperlink ref="K20" r:id="rId69"/>
    <hyperlink ref="L20" r:id="rId70"/>
    <hyperlink ref="S20" r:id="rId71"/>
    <hyperlink ref="J21" r:id="rId72"/>
    <hyperlink ref="L21" r:id="rId73"/>
    <hyperlink ref="S21" r:id="rId74"/>
    <hyperlink ref="J22" r:id="rId75"/>
    <hyperlink ref="K22" r:id="rId76"/>
    <hyperlink ref="L22" r:id="rId77"/>
    <hyperlink ref="S22" r:id="rId78"/>
    <hyperlink ref="J23" r:id="rId79"/>
    <hyperlink ref="K23" r:id="rId80"/>
    <hyperlink ref="L23" r:id="rId81"/>
    <hyperlink ref="S23" r:id="rId82"/>
    <hyperlink ref="J24" r:id="rId83"/>
    <hyperlink ref="K24" r:id="rId84"/>
    <hyperlink ref="L24" r:id="rId85"/>
    <hyperlink ref="S24" r:id="rId86"/>
    <hyperlink ref="J25" r:id="rId87"/>
    <hyperlink ref="K25" r:id="rId88"/>
    <hyperlink ref="L25" r:id="rId89"/>
    <hyperlink ref="S25" r:id="rId90"/>
    <hyperlink ref="J26" r:id="rId91"/>
    <hyperlink ref="K26" r:id="rId92"/>
    <hyperlink ref="L26" r:id="rId93"/>
    <hyperlink ref="S26" r:id="rId94"/>
    <hyperlink ref="J27" r:id="rId95"/>
    <hyperlink ref="L27" r:id="rId96"/>
    <hyperlink ref="S27" r:id="rId97"/>
    <hyperlink ref="J28" r:id="rId98"/>
    <hyperlink ref="K28" r:id="rId99"/>
    <hyperlink ref="L28" r:id="rId100"/>
    <hyperlink ref="S28" r:id="rId101"/>
    <hyperlink ref="L29" r:id="rId102"/>
    <hyperlink ref="S29" r:id="rId103"/>
    <hyperlink ref="J30" r:id="rId104"/>
    <hyperlink ref="K30" r:id="rId105"/>
    <hyperlink ref="L30" r:id="rId106"/>
    <hyperlink ref="S30" r:id="rId107"/>
    <hyperlink ref="J31" r:id="rId108"/>
    <hyperlink ref="K31" r:id="rId109"/>
    <hyperlink ref="L31" r:id="rId110"/>
    <hyperlink ref="S31" r:id="rId111"/>
    <hyperlink ref="K32" r:id="rId112"/>
    <hyperlink ref="L32" r:id="rId113"/>
    <hyperlink ref="S32" r:id="rId114"/>
    <hyperlink ref="J33" r:id="rId115"/>
    <hyperlink ref="K33" r:id="rId116"/>
    <hyperlink ref="L33" r:id="rId117"/>
    <hyperlink ref="S33" r:id="rId118"/>
    <hyperlink ref="J34" r:id="rId119"/>
    <hyperlink ref="K34" r:id="rId120"/>
    <hyperlink ref="L34" r:id="rId121"/>
    <hyperlink ref="S34" r:id="rId122"/>
    <hyperlink ref="J35" r:id="rId123"/>
    <hyperlink ref="K35" r:id="rId124"/>
    <hyperlink ref="L35" r:id="rId125"/>
    <hyperlink ref="S35" r:id="rId126"/>
    <hyperlink ref="J36" r:id="rId127"/>
    <hyperlink ref="K36" r:id="rId128"/>
    <hyperlink ref="L36" r:id="rId129"/>
    <hyperlink ref="S36" r:id="rId130"/>
    <hyperlink ref="J37" r:id="rId131"/>
    <hyperlink ref="K37" r:id="rId132"/>
    <hyperlink ref="L37" r:id="rId133"/>
    <hyperlink ref="S37" r:id="rId134"/>
    <hyperlink ref="J38" r:id="rId135"/>
    <hyperlink ref="K38" r:id="rId136"/>
    <hyperlink ref="L38" r:id="rId137"/>
    <hyperlink ref="S38" r:id="rId138"/>
    <hyperlink ref="J39" r:id="rId139"/>
    <hyperlink ref="K39" r:id="rId140"/>
    <hyperlink ref="L39" r:id="rId141"/>
    <hyperlink ref="S39" r:id="rId142"/>
    <hyperlink ref="J40" r:id="rId143"/>
    <hyperlink ref="K40" r:id="rId144"/>
    <hyperlink ref="L40" r:id="rId145"/>
    <hyperlink ref="S40" r:id="rId146"/>
    <hyperlink ref="J41" r:id="rId147"/>
    <hyperlink ref="K41" r:id="rId148"/>
    <hyperlink ref="L41" r:id="rId149"/>
    <hyperlink ref="S41" r:id="rId150"/>
    <hyperlink ref="J42" r:id="rId151"/>
    <hyperlink ref="K42" r:id="rId152"/>
    <hyperlink ref="L42" r:id="rId153"/>
    <hyperlink ref="S42" r:id="rId154"/>
    <hyperlink ref="J43" r:id="rId155"/>
    <hyperlink ref="K43" r:id="rId156"/>
    <hyperlink ref="L43" r:id="rId157"/>
    <hyperlink ref="S43" r:id="rId158"/>
    <hyperlink ref="J44" r:id="rId159"/>
    <hyperlink ref="K44" r:id="rId160"/>
    <hyperlink ref="L44" r:id="rId161"/>
    <hyperlink ref="S44" r:id="rId162"/>
    <hyperlink ref="J45" r:id="rId163"/>
    <hyperlink ref="K45" r:id="rId164"/>
    <hyperlink ref="L45" r:id="rId165"/>
    <hyperlink ref="S45" r:id="rId166"/>
    <hyperlink ref="K46" r:id="rId167"/>
    <hyperlink ref="L46" r:id="rId168"/>
    <hyperlink ref="S46" r:id="rId169"/>
    <hyperlink ref="L47" r:id="rId170"/>
    <hyperlink ref="S47" r:id="rId171"/>
    <hyperlink ref="K48" r:id="rId172"/>
    <hyperlink ref="L48" r:id="rId173"/>
    <hyperlink ref="S48" r:id="rId174"/>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2"/>
  <sheetViews>
    <sheetView workbookViewId="0">
      <pane ySplit="1" topLeftCell="A2" activePane="bottomLeft" state="frozen"/>
      <selection pane="bottomLeft" activeCell="B3" sqref="B3"/>
    </sheetView>
  </sheetViews>
  <sheetFormatPr defaultColWidth="14.42578125" defaultRowHeight="15" customHeight="1"/>
  <cols>
    <col min="1" max="1" width="13.42578125" customWidth="1"/>
    <col min="2" max="3" width="7.5703125" customWidth="1"/>
    <col min="4" max="4" width="50" customWidth="1"/>
    <col min="5" max="7" width="7.5703125" customWidth="1"/>
    <col min="8" max="8" width="17.42578125" customWidth="1"/>
    <col min="9" max="9" width="10.140625" customWidth="1"/>
    <col min="10" max="10" width="7.5703125" customWidth="1"/>
    <col min="11" max="11" width="22.42578125" customWidth="1"/>
    <col min="12" max="12" width="10.42578125" customWidth="1"/>
    <col min="13" max="13" width="10.140625" customWidth="1"/>
    <col min="14" max="14" width="7.5703125" customWidth="1"/>
  </cols>
  <sheetData>
    <row r="1" spans="1:14">
      <c r="A1" s="84" t="s">
        <v>6936</v>
      </c>
      <c r="B1" s="85" t="s">
        <v>6937</v>
      </c>
      <c r="C1" s="84" t="s">
        <v>6938</v>
      </c>
      <c r="D1" s="84" t="s">
        <v>6939</v>
      </c>
      <c r="E1" s="6"/>
      <c r="F1" s="6"/>
      <c r="G1" s="6"/>
      <c r="H1" s="6"/>
      <c r="I1" s="6"/>
      <c r="J1" s="6"/>
      <c r="K1" s="6"/>
      <c r="L1" s="6"/>
      <c r="M1" s="6"/>
      <c r="N1" s="6"/>
    </row>
    <row r="2" spans="1:14">
      <c r="A2" s="6" t="s">
        <v>6940</v>
      </c>
      <c r="B2" s="86" t="s">
        <v>6941</v>
      </c>
      <c r="C2" s="6" t="s">
        <v>6942</v>
      </c>
      <c r="D2" s="6" t="s">
        <v>4201</v>
      </c>
      <c r="E2" s="6"/>
      <c r="F2" s="6"/>
      <c r="G2" s="6"/>
      <c r="H2" s="6"/>
      <c r="I2" s="87"/>
      <c r="J2" s="87"/>
      <c r="K2" s="87"/>
      <c r="L2" s="88"/>
      <c r="M2" s="88"/>
      <c r="N2" s="87"/>
    </row>
    <row r="3" spans="1:14">
      <c r="A3" s="6" t="s">
        <v>6943</v>
      </c>
      <c r="B3" s="86" t="s">
        <v>6944</v>
      </c>
      <c r="C3" s="6" t="s">
        <v>6942</v>
      </c>
      <c r="D3" s="6" t="s">
        <v>6945</v>
      </c>
      <c r="E3" s="6"/>
      <c r="H3" s="6"/>
      <c r="I3" s="6"/>
      <c r="K3" s="6"/>
      <c r="L3" s="28"/>
      <c r="M3" s="28"/>
    </row>
    <row r="4" spans="1:14">
      <c r="A4" s="6" t="s">
        <v>3833</v>
      </c>
      <c r="B4" s="86" t="s">
        <v>6946</v>
      </c>
      <c r="C4" s="6" t="s">
        <v>6947</v>
      </c>
      <c r="D4" s="6" t="s">
        <v>6948</v>
      </c>
    </row>
    <row r="5" spans="1:14">
      <c r="A5" s="6" t="s">
        <v>3787</v>
      </c>
      <c r="B5" s="86" t="s">
        <v>6946</v>
      </c>
      <c r="C5" s="6" t="s">
        <v>6947</v>
      </c>
      <c r="D5" t="s">
        <v>6949</v>
      </c>
      <c r="E5" s="6"/>
      <c r="F5" s="6"/>
      <c r="G5" s="6"/>
      <c r="H5" s="6"/>
      <c r="I5" s="6"/>
      <c r="K5" s="6"/>
      <c r="L5" s="6"/>
      <c r="M5" s="6"/>
    </row>
    <row r="6" spans="1:14">
      <c r="B6" s="86"/>
      <c r="H6" s="6"/>
      <c r="I6" s="6"/>
      <c r="K6" s="6"/>
      <c r="L6" s="6"/>
      <c r="M6" s="6"/>
    </row>
    <row r="7" spans="1:14">
      <c r="A7" t="s">
        <v>6950</v>
      </c>
      <c r="B7" s="86"/>
      <c r="C7" s="6" t="s">
        <v>6951</v>
      </c>
      <c r="D7" t="s">
        <v>6952</v>
      </c>
      <c r="H7" s="6"/>
      <c r="I7" s="6"/>
      <c r="K7" s="6"/>
      <c r="L7" s="6"/>
      <c r="M7" s="6"/>
    </row>
    <row r="8" spans="1:14">
      <c r="A8" t="s">
        <v>2651</v>
      </c>
      <c r="B8" s="86" t="s">
        <v>6953</v>
      </c>
      <c r="C8" s="89"/>
      <c r="D8" t="s">
        <v>6954</v>
      </c>
      <c r="H8" s="6"/>
      <c r="I8" s="6"/>
      <c r="K8" s="6"/>
      <c r="L8" s="6"/>
      <c r="M8" s="6"/>
    </row>
    <row r="9" spans="1:14">
      <c r="A9" s="6" t="s">
        <v>6955</v>
      </c>
      <c r="B9" s="86"/>
      <c r="D9" t="s">
        <v>6956</v>
      </c>
      <c r="H9" s="6"/>
      <c r="I9" s="6"/>
      <c r="K9" s="6"/>
      <c r="L9" s="6"/>
      <c r="M9" s="6"/>
    </row>
    <row r="10" spans="1:14">
      <c r="A10" s="6" t="s">
        <v>2967</v>
      </c>
      <c r="B10" s="86" t="s">
        <v>6953</v>
      </c>
      <c r="C10" s="6" t="s">
        <v>6951</v>
      </c>
      <c r="D10" t="s">
        <v>6957</v>
      </c>
      <c r="H10" s="6"/>
      <c r="I10" s="6"/>
      <c r="K10" s="6"/>
      <c r="L10" s="6"/>
      <c r="M10" s="6"/>
    </row>
    <row r="11" spans="1:14">
      <c r="A11" s="6" t="s">
        <v>516</v>
      </c>
      <c r="B11" s="86"/>
      <c r="D11" t="s">
        <v>6958</v>
      </c>
      <c r="H11" s="6"/>
      <c r="I11" s="6"/>
      <c r="K11" s="6"/>
      <c r="L11" s="6"/>
      <c r="M11" s="6"/>
    </row>
    <row r="12" spans="1:14">
      <c r="A12" s="6" t="s">
        <v>622</v>
      </c>
      <c r="B12" s="86"/>
      <c r="C12" s="6" t="s">
        <v>6959</v>
      </c>
      <c r="D12" t="s">
        <v>6960</v>
      </c>
      <c r="H12" s="6"/>
      <c r="I12" s="6"/>
      <c r="K12" s="6"/>
      <c r="L12" s="6"/>
      <c r="M12" s="6"/>
    </row>
    <row r="13" spans="1:14">
      <c r="A13" s="6" t="s">
        <v>123</v>
      </c>
      <c r="B13" s="86"/>
      <c r="C13" s="6" t="s">
        <v>6961</v>
      </c>
      <c r="D13" t="s">
        <v>6962</v>
      </c>
      <c r="H13" s="6"/>
      <c r="I13" s="6"/>
      <c r="K13" s="6"/>
      <c r="L13" s="6"/>
      <c r="M13" s="6"/>
    </row>
    <row r="14" spans="1:14">
      <c r="B14" s="86"/>
      <c r="H14" s="6"/>
      <c r="I14" s="6"/>
      <c r="K14" s="6"/>
      <c r="L14" s="6"/>
      <c r="M14" s="6"/>
    </row>
    <row r="15" spans="1:14">
      <c r="A15" s="9" t="s">
        <v>6963</v>
      </c>
      <c r="B15" s="90" t="s">
        <v>6964</v>
      </c>
      <c r="C15" s="9" t="s">
        <v>6965</v>
      </c>
      <c r="H15" s="6"/>
      <c r="I15" s="6"/>
      <c r="K15" s="6"/>
      <c r="L15" s="6"/>
      <c r="M15" s="6"/>
    </row>
    <row r="16" spans="1:14">
      <c r="A16" s="9" t="s">
        <v>6966</v>
      </c>
      <c r="B16" s="90" t="s">
        <v>6964</v>
      </c>
      <c r="C16" s="9" t="s">
        <v>6967</v>
      </c>
      <c r="D16" s="9" t="s">
        <v>6968</v>
      </c>
      <c r="H16" s="6"/>
      <c r="I16" s="6"/>
      <c r="K16" s="6"/>
      <c r="L16" s="6"/>
      <c r="M16" s="6"/>
    </row>
    <row r="17" spans="1:13">
      <c r="B17" s="86"/>
      <c r="H17" s="6"/>
      <c r="I17" s="6"/>
      <c r="K17" s="6"/>
      <c r="L17" s="6"/>
      <c r="M17" s="6"/>
    </row>
    <row r="18" spans="1:13">
      <c r="A18" s="9" t="s">
        <v>6969</v>
      </c>
      <c r="B18" s="86"/>
      <c r="C18" s="9" t="s">
        <v>6970</v>
      </c>
      <c r="H18" s="6"/>
      <c r="I18" s="6"/>
      <c r="K18" s="6"/>
      <c r="L18" s="6"/>
      <c r="M18" s="6"/>
    </row>
    <row r="19" spans="1:13">
      <c r="A19" s="9" t="s">
        <v>3547</v>
      </c>
      <c r="B19" s="90" t="s">
        <v>6971</v>
      </c>
      <c r="C19" s="9" t="s">
        <v>6972</v>
      </c>
      <c r="H19" s="6"/>
      <c r="I19" s="6"/>
      <c r="K19" s="6"/>
      <c r="L19" s="6"/>
      <c r="M19" s="6"/>
    </row>
    <row r="20" spans="1:13">
      <c r="A20" s="9" t="s">
        <v>844</v>
      </c>
      <c r="B20" s="90" t="s">
        <v>6973</v>
      </c>
      <c r="C20" s="9" t="s">
        <v>6974</v>
      </c>
      <c r="H20" s="6"/>
      <c r="I20" s="6"/>
      <c r="K20" s="6"/>
      <c r="L20" s="6"/>
      <c r="M20" s="6"/>
    </row>
    <row r="21" spans="1:13">
      <c r="B21" s="86"/>
      <c r="H21" s="6"/>
      <c r="I21" s="6"/>
      <c r="K21" s="6"/>
      <c r="L21" s="6"/>
      <c r="M21" s="6"/>
    </row>
    <row r="22" spans="1:13">
      <c r="B22" s="86"/>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I65"/>
  <sheetViews>
    <sheetView workbookViewId="0"/>
  </sheetViews>
  <sheetFormatPr defaultColWidth="14.42578125" defaultRowHeight="15" customHeight="1"/>
  <cols>
    <col min="1" max="1" width="7.5703125" customWidth="1"/>
    <col min="2" max="2" width="29.85546875" customWidth="1"/>
    <col min="3" max="27" width="7.5703125" customWidth="1"/>
    <col min="28" max="35" width="12.5703125" customWidth="1"/>
  </cols>
  <sheetData>
    <row r="1" spans="1:33">
      <c r="A1" s="1" t="s">
        <v>0</v>
      </c>
      <c r="B1" s="2" t="s">
        <v>2</v>
      </c>
      <c r="C1" s="2" t="s">
        <v>3</v>
      </c>
      <c r="D1" s="2" t="s">
        <v>5</v>
      </c>
      <c r="E1" s="1" t="s">
        <v>6</v>
      </c>
      <c r="F1" s="2" t="s">
        <v>8</v>
      </c>
      <c r="G1" s="79" t="s">
        <v>9</v>
      </c>
      <c r="H1" s="2" t="s">
        <v>10</v>
      </c>
      <c r="I1" s="2" t="s">
        <v>11</v>
      </c>
      <c r="J1" s="2" t="s">
        <v>12</v>
      </c>
      <c r="K1" s="2" t="s">
        <v>13</v>
      </c>
      <c r="L1" s="2" t="s">
        <v>14</v>
      </c>
      <c r="M1" s="2" t="s">
        <v>15</v>
      </c>
      <c r="N1" s="2" t="s">
        <v>16</v>
      </c>
      <c r="O1" s="2" t="s">
        <v>17</v>
      </c>
      <c r="P1" s="2" t="s">
        <v>6518</v>
      </c>
      <c r="Q1" s="2" t="s">
        <v>26</v>
      </c>
      <c r="R1" s="2" t="s">
        <v>18</v>
      </c>
      <c r="S1" s="2" t="s">
        <v>19</v>
      </c>
      <c r="T1" s="3" t="s">
        <v>20</v>
      </c>
      <c r="U1" s="3" t="s">
        <v>21</v>
      </c>
      <c r="V1" s="2">
        <v>2010</v>
      </c>
      <c r="W1" s="2">
        <v>2011</v>
      </c>
      <c r="X1" s="2">
        <v>2012</v>
      </c>
      <c r="Y1" s="2">
        <v>2013</v>
      </c>
      <c r="Z1" s="2">
        <v>2014</v>
      </c>
      <c r="AA1" s="2">
        <v>2015</v>
      </c>
      <c r="AB1" s="2">
        <v>2016</v>
      </c>
      <c r="AC1" s="2">
        <v>2017</v>
      </c>
      <c r="AD1" s="2">
        <v>2018</v>
      </c>
      <c r="AE1" s="1" t="s">
        <v>28</v>
      </c>
      <c r="AF1" s="4" t="s">
        <v>29</v>
      </c>
      <c r="AG1" s="7" t="s">
        <v>30</v>
      </c>
    </row>
    <row r="2" spans="1:33">
      <c r="B2" s="6" t="s">
        <v>6975</v>
      </c>
      <c r="C2" s="6" t="s">
        <v>6976</v>
      </c>
      <c r="D2" s="6" t="s">
        <v>6977</v>
      </c>
      <c r="E2" s="6"/>
      <c r="F2" s="6" t="s">
        <v>113</v>
      </c>
      <c r="G2" s="14" t="s">
        <v>6978</v>
      </c>
      <c r="H2" s="6">
        <v>1250</v>
      </c>
      <c r="M2" s="6" t="s">
        <v>6979</v>
      </c>
      <c r="O2" s="6" t="s">
        <v>6975</v>
      </c>
      <c r="S2" s="6" t="s">
        <v>6980</v>
      </c>
      <c r="T2" s="28">
        <v>50.391741699999997</v>
      </c>
      <c r="U2" s="28">
        <v>15.9852525</v>
      </c>
    </row>
    <row r="3" spans="1:33">
      <c r="B3" s="6" t="s">
        <v>6981</v>
      </c>
      <c r="C3" s="6" t="s">
        <v>6982</v>
      </c>
      <c r="D3" s="6" t="s">
        <v>5315</v>
      </c>
      <c r="E3" s="6"/>
      <c r="F3" s="6" t="s">
        <v>113</v>
      </c>
      <c r="G3" s="14" t="s">
        <v>6983</v>
      </c>
      <c r="M3" s="6" t="s">
        <v>6984</v>
      </c>
      <c r="O3" s="6" t="s">
        <v>6985</v>
      </c>
      <c r="S3" s="6" t="s">
        <v>6986</v>
      </c>
      <c r="T3" s="28">
        <v>49.229840000000003</v>
      </c>
      <c r="U3" s="28">
        <v>16.591794400000001</v>
      </c>
    </row>
    <row r="4" spans="1:33">
      <c r="B4" s="6" t="s">
        <v>6987</v>
      </c>
      <c r="C4" s="6" t="s">
        <v>6988</v>
      </c>
      <c r="D4" s="6" t="s">
        <v>6989</v>
      </c>
      <c r="E4" s="6"/>
      <c r="F4" s="6" t="s">
        <v>113</v>
      </c>
      <c r="G4" s="14" t="s">
        <v>6990</v>
      </c>
      <c r="O4" s="6" t="s">
        <v>6991</v>
      </c>
      <c r="S4" s="6" t="s">
        <v>6992</v>
      </c>
      <c r="T4" s="28">
        <v>50.199150799999998</v>
      </c>
      <c r="U4" s="28">
        <v>15.866306099999999</v>
      </c>
    </row>
    <row r="5" spans="1:33">
      <c r="B5" s="6" t="s">
        <v>6993</v>
      </c>
      <c r="C5" s="6" t="s">
        <v>6994</v>
      </c>
      <c r="D5" s="6" t="s">
        <v>1902</v>
      </c>
      <c r="E5" s="6"/>
      <c r="F5" s="6" t="s">
        <v>113</v>
      </c>
      <c r="G5" s="14" t="s">
        <v>6995</v>
      </c>
      <c r="O5" s="6" t="s">
        <v>6921</v>
      </c>
      <c r="S5" s="6" t="s">
        <v>6996</v>
      </c>
      <c r="T5" s="28">
        <v>49.592753600000002</v>
      </c>
      <c r="U5" s="28">
        <v>18.0120389</v>
      </c>
    </row>
    <row r="6" spans="1:33">
      <c r="B6" s="6" t="s">
        <v>674</v>
      </c>
      <c r="C6" s="6" t="s">
        <v>6997</v>
      </c>
      <c r="D6" s="6" t="s">
        <v>674</v>
      </c>
      <c r="E6" s="6"/>
      <c r="F6" s="6" t="s">
        <v>113</v>
      </c>
      <c r="G6" s="14" t="s">
        <v>6998</v>
      </c>
      <c r="T6" s="28"/>
      <c r="U6" s="28"/>
    </row>
    <row r="7" spans="1:33">
      <c r="B7" s="6" t="s">
        <v>6999</v>
      </c>
      <c r="C7" s="6" t="s">
        <v>7000</v>
      </c>
      <c r="D7" s="6" t="s">
        <v>1436</v>
      </c>
      <c r="E7" s="6"/>
      <c r="F7" s="6" t="s">
        <v>113</v>
      </c>
      <c r="G7" s="14" t="s">
        <v>7001</v>
      </c>
      <c r="T7" s="28"/>
      <c r="U7" s="28"/>
    </row>
    <row r="8" spans="1:33">
      <c r="B8" s="6" t="s">
        <v>5765</v>
      </c>
      <c r="C8" s="6" t="s">
        <v>7002</v>
      </c>
      <c r="D8" s="6" t="s">
        <v>68</v>
      </c>
      <c r="E8" s="6"/>
      <c r="F8" s="6" t="s">
        <v>113</v>
      </c>
      <c r="G8" s="14" t="s">
        <v>7003</v>
      </c>
      <c r="T8" s="28"/>
      <c r="U8" s="28"/>
    </row>
    <row r="9" spans="1:33">
      <c r="B9" s="6" t="s">
        <v>7004</v>
      </c>
      <c r="C9" s="6" t="s">
        <v>7005</v>
      </c>
      <c r="D9" s="6" t="s">
        <v>7004</v>
      </c>
      <c r="E9" s="6"/>
      <c r="F9" s="6" t="s">
        <v>113</v>
      </c>
      <c r="G9" s="14" t="s">
        <v>7006</v>
      </c>
      <c r="T9" s="28"/>
      <c r="U9" s="28"/>
    </row>
    <row r="10" spans="1:33">
      <c r="B10" s="6" t="s">
        <v>7007</v>
      </c>
      <c r="C10" s="6" t="s">
        <v>7007</v>
      </c>
      <c r="D10" s="6" t="s">
        <v>59</v>
      </c>
      <c r="E10" s="6"/>
      <c r="F10" s="6" t="s">
        <v>113</v>
      </c>
      <c r="G10" s="14" t="s">
        <v>7008</v>
      </c>
      <c r="O10" s="6" t="s">
        <v>7009</v>
      </c>
      <c r="S10" s="6" t="s">
        <v>7010</v>
      </c>
      <c r="T10" s="28">
        <v>50.086032799999998</v>
      </c>
      <c r="U10" s="28">
        <v>14.4247719</v>
      </c>
    </row>
    <row r="11" spans="1:33">
      <c r="B11" s="6" t="s">
        <v>1686</v>
      </c>
      <c r="C11" s="6" t="s">
        <v>7011</v>
      </c>
      <c r="D11" s="6" t="s">
        <v>7012</v>
      </c>
      <c r="E11" s="6"/>
      <c r="F11" s="6" t="s">
        <v>113</v>
      </c>
      <c r="G11" s="14" t="s">
        <v>7013</v>
      </c>
      <c r="T11" s="28"/>
      <c r="U11" s="28"/>
    </row>
    <row r="12" spans="1:33">
      <c r="B12" s="6" t="s">
        <v>7014</v>
      </c>
      <c r="C12" s="6" t="s">
        <v>7015</v>
      </c>
      <c r="D12" s="6" t="s">
        <v>636</v>
      </c>
      <c r="E12" s="6"/>
      <c r="F12" s="6" t="s">
        <v>113</v>
      </c>
      <c r="G12" s="14" t="s">
        <v>7016</v>
      </c>
      <c r="T12" s="28"/>
      <c r="U12" s="28"/>
    </row>
    <row r="13" spans="1:33">
      <c r="B13" s="6" t="s">
        <v>7017</v>
      </c>
      <c r="C13" s="6" t="s">
        <v>7018</v>
      </c>
      <c r="D13" s="6" t="s">
        <v>7017</v>
      </c>
      <c r="E13" s="6"/>
      <c r="F13" s="6" t="s">
        <v>113</v>
      </c>
      <c r="G13" s="14" t="s">
        <v>7019</v>
      </c>
      <c r="T13" s="28"/>
      <c r="U13" s="28"/>
    </row>
    <row r="14" spans="1:33">
      <c r="B14" s="6" t="s">
        <v>7020</v>
      </c>
      <c r="C14" s="6" t="s">
        <v>7021</v>
      </c>
      <c r="D14" s="6" t="s">
        <v>2558</v>
      </c>
      <c r="E14" s="6"/>
      <c r="F14" s="6" t="s">
        <v>113</v>
      </c>
      <c r="G14" s="14" t="s">
        <v>7022</v>
      </c>
      <c r="T14" s="28"/>
      <c r="U14" s="28"/>
    </row>
    <row r="15" spans="1:33">
      <c r="B15" s="6" t="s">
        <v>7023</v>
      </c>
      <c r="C15" s="6" t="s">
        <v>7024</v>
      </c>
      <c r="D15" s="6" t="s">
        <v>1903</v>
      </c>
      <c r="E15" s="6"/>
      <c r="F15" s="6" t="s">
        <v>113</v>
      </c>
      <c r="G15" s="14" t="s">
        <v>7025</v>
      </c>
      <c r="T15" s="28"/>
      <c r="U15" s="28"/>
    </row>
    <row r="16" spans="1:33">
      <c r="B16" s="6" t="s">
        <v>7026</v>
      </c>
      <c r="C16" s="6" t="s">
        <v>7027</v>
      </c>
      <c r="D16" s="6" t="s">
        <v>259</v>
      </c>
      <c r="E16" s="6"/>
      <c r="F16" s="6" t="s">
        <v>113</v>
      </c>
      <c r="G16" s="14" t="s">
        <v>7028</v>
      </c>
      <c r="T16" s="28"/>
      <c r="U16" s="28"/>
    </row>
    <row r="17" spans="2:21">
      <c r="B17" s="6" t="s">
        <v>5495</v>
      </c>
      <c r="C17" s="6" t="s">
        <v>7029</v>
      </c>
      <c r="D17" s="6" t="s">
        <v>5495</v>
      </c>
      <c r="E17" s="6"/>
      <c r="F17" s="6" t="s">
        <v>113</v>
      </c>
      <c r="G17" s="14" t="s">
        <v>7030</v>
      </c>
      <c r="O17" s="6" t="s">
        <v>7031</v>
      </c>
      <c r="T17" s="28"/>
      <c r="U17" s="28"/>
    </row>
    <row r="18" spans="2:21">
      <c r="B18" s="6" t="s">
        <v>7032</v>
      </c>
      <c r="C18" s="6" t="s">
        <v>7033</v>
      </c>
      <c r="D18" s="6" t="s">
        <v>72</v>
      </c>
      <c r="E18" s="6"/>
      <c r="F18" s="6" t="s">
        <v>113</v>
      </c>
      <c r="G18" s="14" t="s">
        <v>7034</v>
      </c>
      <c r="T18" s="28"/>
      <c r="U18" s="28"/>
    </row>
    <row r="19" spans="2:21">
      <c r="B19" s="6" t="s">
        <v>7035</v>
      </c>
      <c r="C19" s="6" t="s">
        <v>7036</v>
      </c>
      <c r="D19" s="6" t="s">
        <v>7037</v>
      </c>
      <c r="E19" s="6"/>
      <c r="F19" s="6" t="s">
        <v>113</v>
      </c>
      <c r="G19" s="14" t="s">
        <v>7038</v>
      </c>
      <c r="T19" s="28"/>
      <c r="U19" s="28"/>
    </row>
    <row r="20" spans="2:21">
      <c r="B20" s="6" t="s">
        <v>1067</v>
      </c>
      <c r="C20" s="6" t="s">
        <v>7039</v>
      </c>
      <c r="D20" s="6" t="s">
        <v>1067</v>
      </c>
      <c r="E20" s="6"/>
      <c r="F20" s="6" t="s">
        <v>113</v>
      </c>
      <c r="G20" s="14" t="s">
        <v>7040</v>
      </c>
      <c r="T20" s="28"/>
      <c r="U20" s="28"/>
    </row>
    <row r="21" spans="2:21">
      <c r="B21" s="6" t="s">
        <v>767</v>
      </c>
      <c r="C21" s="6" t="s">
        <v>7041</v>
      </c>
      <c r="D21" s="6" t="s">
        <v>767</v>
      </c>
      <c r="E21" s="6"/>
      <c r="F21" s="6" t="s">
        <v>113</v>
      </c>
      <c r="G21" s="14">
        <v>2002</v>
      </c>
      <c r="T21" s="28"/>
      <c r="U21" s="28"/>
    </row>
    <row r="22" spans="2:21">
      <c r="B22" s="9" t="s">
        <v>7042</v>
      </c>
      <c r="C22" s="6" t="s">
        <v>7043</v>
      </c>
      <c r="D22" s="6" t="s">
        <v>7042</v>
      </c>
      <c r="E22" s="6"/>
      <c r="F22" s="6" t="s">
        <v>113</v>
      </c>
      <c r="G22" s="14">
        <v>2001</v>
      </c>
      <c r="T22" s="28"/>
      <c r="U22" s="28"/>
    </row>
    <row r="23" spans="2:21">
      <c r="B23" s="6" t="s">
        <v>7044</v>
      </c>
      <c r="C23" s="6" t="s">
        <v>7045</v>
      </c>
      <c r="D23" s="6" t="s">
        <v>7044</v>
      </c>
      <c r="E23" s="6"/>
      <c r="F23" s="6" t="s">
        <v>113</v>
      </c>
      <c r="G23" s="14">
        <v>2000</v>
      </c>
      <c r="T23" s="28"/>
      <c r="U23" s="28"/>
    </row>
    <row r="24" spans="2:21">
      <c r="B24" s="6" t="s">
        <v>3771</v>
      </c>
      <c r="C24" s="6" t="s">
        <v>7046</v>
      </c>
      <c r="D24" s="6" t="s">
        <v>3773</v>
      </c>
      <c r="E24" s="6"/>
      <c r="F24" s="6" t="s">
        <v>113</v>
      </c>
      <c r="G24" s="14">
        <v>2000</v>
      </c>
      <c r="T24" s="28"/>
      <c r="U24" s="28"/>
    </row>
    <row r="25" spans="2:21">
      <c r="B25" s="6" t="s">
        <v>622</v>
      </c>
      <c r="C25" s="6" t="s">
        <v>7047</v>
      </c>
      <c r="D25" s="6" t="s">
        <v>622</v>
      </c>
      <c r="E25" s="6"/>
      <c r="F25" s="6" t="s">
        <v>113</v>
      </c>
      <c r="G25" s="14">
        <v>1999</v>
      </c>
      <c r="T25" s="28"/>
      <c r="U25" s="28"/>
    </row>
    <row r="26" spans="2:21">
      <c r="B26" s="6" t="s">
        <v>7048</v>
      </c>
      <c r="C26" s="6" t="s">
        <v>7049</v>
      </c>
      <c r="D26" s="6" t="s">
        <v>7048</v>
      </c>
      <c r="E26" s="6"/>
      <c r="F26" s="6" t="s">
        <v>113</v>
      </c>
      <c r="G26" s="14">
        <v>1999</v>
      </c>
      <c r="T26" s="28"/>
      <c r="U26" s="28"/>
    </row>
    <row r="27" spans="2:21">
      <c r="B27" s="6" t="s">
        <v>208</v>
      </c>
      <c r="C27" s="6" t="s">
        <v>7050</v>
      </c>
      <c r="D27" s="6" t="s">
        <v>208</v>
      </c>
      <c r="E27" s="6"/>
      <c r="F27" s="6" t="s">
        <v>113</v>
      </c>
      <c r="G27" s="14">
        <v>1999</v>
      </c>
      <c r="T27" s="28"/>
      <c r="U27" s="28"/>
    </row>
    <row r="28" spans="2:21">
      <c r="B28" s="6" t="s">
        <v>7051</v>
      </c>
      <c r="C28" s="6" t="s">
        <v>7052</v>
      </c>
      <c r="D28" s="6" t="s">
        <v>7053</v>
      </c>
      <c r="E28" s="6"/>
      <c r="F28" s="6" t="s">
        <v>113</v>
      </c>
      <c r="G28" s="14" t="s">
        <v>7054</v>
      </c>
      <c r="T28" s="28"/>
      <c r="U28" s="28"/>
    </row>
    <row r="29" spans="2:21">
      <c r="B29" s="6" t="s">
        <v>655</v>
      </c>
      <c r="C29" s="6" t="s">
        <v>7055</v>
      </c>
      <c r="D29" s="6" t="s">
        <v>7056</v>
      </c>
      <c r="E29" s="6"/>
      <c r="F29" s="6" t="s">
        <v>113</v>
      </c>
      <c r="G29" s="14" t="s">
        <v>7057</v>
      </c>
      <c r="T29" s="28"/>
      <c r="U29" s="28"/>
    </row>
    <row r="30" spans="2:21">
      <c r="B30" s="6" t="s">
        <v>7058</v>
      </c>
      <c r="C30" s="6" t="s">
        <v>7059</v>
      </c>
      <c r="D30" s="6" t="s">
        <v>961</v>
      </c>
      <c r="E30" s="6"/>
      <c r="F30" s="6" t="s">
        <v>113</v>
      </c>
      <c r="G30" s="14">
        <v>1998</v>
      </c>
      <c r="T30" s="28"/>
      <c r="U30" s="28"/>
    </row>
    <row r="31" spans="2:21">
      <c r="B31" s="6" t="s">
        <v>287</v>
      </c>
      <c r="C31" s="6" t="s">
        <v>7060</v>
      </c>
      <c r="D31" s="6" t="s">
        <v>287</v>
      </c>
      <c r="E31" s="6"/>
      <c r="F31" s="6" t="s">
        <v>113</v>
      </c>
      <c r="G31" s="14" t="s">
        <v>7061</v>
      </c>
      <c r="O31" s="6" t="s">
        <v>7062</v>
      </c>
      <c r="T31" s="28"/>
      <c r="U31" s="28"/>
    </row>
    <row r="32" spans="2:21">
      <c r="B32" s="6" t="s">
        <v>7063</v>
      </c>
      <c r="C32" s="6" t="s">
        <v>7064</v>
      </c>
      <c r="D32" s="6" t="s">
        <v>7063</v>
      </c>
      <c r="E32" s="6"/>
      <c r="F32" s="6" t="s">
        <v>113</v>
      </c>
      <c r="G32" s="14">
        <v>1997</v>
      </c>
      <c r="T32" s="28"/>
      <c r="U32" s="28"/>
    </row>
    <row r="33" spans="1:35">
      <c r="B33" s="6" t="s">
        <v>7065</v>
      </c>
      <c r="C33" s="6" t="s">
        <v>7066</v>
      </c>
      <c r="D33" s="6" t="s">
        <v>7065</v>
      </c>
      <c r="E33" s="6"/>
      <c r="F33" s="6" t="s">
        <v>113</v>
      </c>
      <c r="G33" s="14">
        <v>1996</v>
      </c>
      <c r="T33" s="28"/>
      <c r="U33" s="28"/>
    </row>
    <row r="34" spans="1:35">
      <c r="B34" s="6" t="s">
        <v>894</v>
      </c>
      <c r="C34" s="6" t="s">
        <v>7067</v>
      </c>
      <c r="D34" s="6" t="s">
        <v>894</v>
      </c>
      <c r="E34" s="6"/>
      <c r="F34" s="6" t="s">
        <v>113</v>
      </c>
      <c r="G34" s="14">
        <v>1996</v>
      </c>
      <c r="T34" s="28"/>
      <c r="U34" s="28"/>
    </row>
    <row r="35" spans="1:35">
      <c r="B35" s="6" t="s">
        <v>7068</v>
      </c>
      <c r="C35" s="6" t="s">
        <v>7069</v>
      </c>
      <c r="D35" s="6" t="s">
        <v>7068</v>
      </c>
      <c r="E35" s="6"/>
      <c r="F35" s="6" t="s">
        <v>113</v>
      </c>
      <c r="G35" s="14">
        <v>1995</v>
      </c>
      <c r="T35" s="28"/>
      <c r="U35" s="28"/>
    </row>
    <row r="36" spans="1:35">
      <c r="B36" s="6" t="s">
        <v>2558</v>
      </c>
      <c r="C36" s="6" t="s">
        <v>7070</v>
      </c>
      <c r="D36" s="6" t="s">
        <v>2558</v>
      </c>
      <c r="E36" s="6"/>
      <c r="F36" s="6" t="s">
        <v>113</v>
      </c>
      <c r="G36" s="14">
        <v>1994</v>
      </c>
      <c r="T36" s="28"/>
      <c r="U36" s="28"/>
    </row>
    <row r="37" spans="1:35">
      <c r="A37" s="6"/>
      <c r="B37" s="6"/>
      <c r="C37" s="6"/>
      <c r="D37" s="6"/>
      <c r="E37" s="6"/>
      <c r="F37" s="6"/>
      <c r="G37" s="14"/>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row>
    <row r="38" spans="1:35">
      <c r="A38" s="6"/>
      <c r="B38" s="6"/>
      <c r="C38" s="6"/>
      <c r="D38" s="6"/>
      <c r="E38" s="6"/>
      <c r="F38" s="6"/>
      <c r="G38" s="14"/>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row>
    <row r="39" spans="1:35">
      <c r="A39" s="6"/>
      <c r="B39" s="6"/>
      <c r="C39" s="6"/>
      <c r="D39" s="6"/>
      <c r="E39" s="6"/>
      <c r="F39" s="6"/>
      <c r="G39" s="14"/>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row>
    <row r="40" spans="1:35">
      <c r="A40" s="6"/>
      <c r="B40" s="6"/>
      <c r="C40" s="6"/>
      <c r="D40" s="6"/>
      <c r="E40" s="6"/>
      <c r="F40" s="6"/>
      <c r="G40" s="14"/>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row>
    <row r="41" spans="1:35">
      <c r="A41" s="6"/>
      <c r="B41" s="6"/>
      <c r="C41" s="6"/>
      <c r="D41" s="6"/>
      <c r="E41" s="6"/>
      <c r="F41" s="6"/>
      <c r="G41" s="14"/>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row>
    <row r="42" spans="1:35">
      <c r="A42" s="6"/>
      <c r="B42" s="6"/>
      <c r="C42" s="6"/>
      <c r="D42" s="6"/>
      <c r="E42" s="6"/>
      <c r="F42" s="6"/>
      <c r="G42" s="14"/>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row>
    <row r="43" spans="1:35">
      <c r="A43" s="6"/>
      <c r="B43" s="6"/>
      <c r="C43" s="6"/>
      <c r="D43" s="6"/>
      <c r="E43" s="6"/>
      <c r="F43" s="6"/>
      <c r="G43" s="14"/>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row>
    <row r="44" spans="1:35">
      <c r="A44" s="6"/>
      <c r="B44" s="6"/>
      <c r="C44" s="6"/>
      <c r="D44" s="6"/>
      <c r="E44" s="6"/>
      <c r="F44" s="6"/>
      <c r="G44" s="14"/>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row>
    <row r="45" spans="1:35">
      <c r="A45" s="6"/>
      <c r="B45" s="6"/>
      <c r="C45" s="6"/>
      <c r="D45" s="6"/>
      <c r="E45" s="6"/>
      <c r="F45" s="6"/>
      <c r="G45" s="14"/>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row>
    <row r="46" spans="1:35">
      <c r="A46" s="6"/>
      <c r="B46" s="6"/>
      <c r="C46" s="6"/>
      <c r="D46" s="6"/>
      <c r="E46" s="6"/>
      <c r="F46" s="6"/>
      <c r="G46" s="14"/>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row>
    <row r="47" spans="1:35">
      <c r="A47" s="6"/>
      <c r="B47" s="6"/>
      <c r="C47" s="6"/>
      <c r="D47" s="6"/>
      <c r="E47" s="6"/>
      <c r="F47" s="6"/>
      <c r="G47" s="14"/>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row>
    <row r="48" spans="1:35">
      <c r="A48" s="6"/>
      <c r="B48" s="6"/>
      <c r="C48" s="6"/>
      <c r="D48" s="6"/>
      <c r="E48" s="6"/>
      <c r="F48" s="6"/>
      <c r="G48" s="14"/>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row>
    <row r="49" spans="1:35">
      <c r="A49" s="6"/>
      <c r="B49" s="6"/>
      <c r="C49" s="6"/>
      <c r="D49" s="6"/>
      <c r="E49" s="6"/>
      <c r="F49" s="6"/>
      <c r="G49" s="14"/>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row>
    <row r="51" spans="1:35">
      <c r="A51" s="6"/>
      <c r="B51" s="6"/>
      <c r="C51" s="6"/>
      <c r="D51" s="6"/>
      <c r="E51" s="6"/>
      <c r="F51" s="6"/>
      <c r="G51" s="14"/>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row>
    <row r="52" spans="1:35">
      <c r="A52" s="6"/>
      <c r="B52" s="6"/>
      <c r="C52" s="6"/>
      <c r="D52" s="6"/>
      <c r="E52" s="6"/>
      <c r="F52" s="6"/>
      <c r="G52" s="14"/>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row>
    <row r="53" spans="1:35">
      <c r="A53" s="6"/>
      <c r="B53" s="6"/>
      <c r="C53" s="6"/>
      <c r="D53" s="6"/>
      <c r="E53" s="6"/>
      <c r="F53" s="6"/>
      <c r="G53" s="14"/>
      <c r="H53" s="6"/>
      <c r="I53" s="6"/>
      <c r="J53" s="6"/>
      <c r="K53" s="6"/>
      <c r="L53" s="6"/>
      <c r="M53" s="6"/>
      <c r="N53" s="6"/>
      <c r="O53" s="6"/>
      <c r="P53" s="6"/>
      <c r="Q53" s="6"/>
      <c r="R53" s="12"/>
      <c r="S53" s="6"/>
      <c r="T53" s="6"/>
      <c r="U53" s="6"/>
      <c r="V53" s="6"/>
      <c r="W53" s="6"/>
      <c r="X53" s="6"/>
      <c r="Y53" s="6"/>
      <c r="Z53" s="6"/>
      <c r="AA53" s="6"/>
      <c r="AB53" s="6"/>
      <c r="AC53" s="6"/>
      <c r="AD53" s="6"/>
      <c r="AE53" s="6"/>
      <c r="AF53" s="6"/>
      <c r="AG53" s="6"/>
      <c r="AH53" s="6"/>
      <c r="AI53" s="6"/>
    </row>
    <row r="54" spans="1:35">
      <c r="A54" s="6"/>
      <c r="B54" s="6"/>
      <c r="C54" s="6"/>
      <c r="D54" s="6"/>
      <c r="E54" s="6"/>
      <c r="F54" s="6"/>
      <c r="G54" s="14"/>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row>
    <row r="55" spans="1:35">
      <c r="A55" s="6"/>
      <c r="B55" s="6"/>
      <c r="C55" s="6"/>
      <c r="D55" s="6"/>
      <c r="E55" s="6"/>
      <c r="F55" s="6"/>
      <c r="G55" s="14"/>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row>
    <row r="56" spans="1:35">
      <c r="A56" s="6"/>
      <c r="B56" s="6"/>
      <c r="C56" s="6"/>
      <c r="D56" s="6"/>
      <c r="E56" s="6"/>
      <c r="F56" s="6"/>
      <c r="G56" s="14"/>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row>
    <row r="57" spans="1:35">
      <c r="A57" s="6"/>
      <c r="B57" s="6"/>
      <c r="C57" s="6"/>
      <c r="D57" s="6"/>
      <c r="E57" s="6"/>
      <c r="F57" s="6"/>
      <c r="G57" s="14"/>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row>
    <row r="58" spans="1:35">
      <c r="A58" s="6"/>
      <c r="B58" s="6"/>
      <c r="C58" s="6"/>
      <c r="D58" s="6"/>
      <c r="E58" s="6"/>
      <c r="F58" s="6"/>
      <c r="G58" s="14"/>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row>
    <row r="59" spans="1:35">
      <c r="A59" s="6"/>
      <c r="B59" s="6"/>
      <c r="C59" s="6"/>
      <c r="D59" s="6"/>
      <c r="E59" s="6"/>
      <c r="F59" s="6"/>
      <c r="G59" s="14"/>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row>
    <row r="60" spans="1:35">
      <c r="A60" s="6"/>
      <c r="B60" s="6"/>
      <c r="C60" s="6"/>
      <c r="D60" s="6"/>
      <c r="E60" s="6"/>
      <c r="F60" s="6"/>
      <c r="G60" s="14"/>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row>
    <row r="61" spans="1:35">
      <c r="A61" s="6"/>
      <c r="B61" s="6"/>
      <c r="C61" s="6"/>
      <c r="D61" s="6"/>
      <c r="E61" s="6"/>
      <c r="F61" s="6"/>
      <c r="G61" s="14"/>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row>
    <row r="62" spans="1:35">
      <c r="A62" s="6"/>
      <c r="B62" s="6"/>
      <c r="C62" s="6"/>
      <c r="D62" s="6"/>
      <c r="E62" s="6"/>
      <c r="F62" s="6"/>
      <c r="G62" s="91"/>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row>
    <row r="64" spans="1:35">
      <c r="A64" s="6"/>
      <c r="B64" s="6"/>
      <c r="C64" s="6"/>
      <c r="D64" s="6"/>
      <c r="E64" s="6"/>
      <c r="F64" s="6"/>
      <c r="G64" s="91"/>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row>
    <row r="65" spans="9:9">
      <c r="I65" s="10"/>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6</vt:i4>
      </vt:variant>
    </vt:vector>
  </HeadingPairs>
  <TitlesOfParts>
    <vt:vector size="6" baseType="lpstr">
      <vt:lpstr>VYPLNOVAT</vt:lpstr>
      <vt:lpstr>Pivovary</vt:lpstr>
      <vt:lpstr>Hospody</vt:lpstr>
      <vt:lpstr>Pivovary_cizina</vt:lpstr>
      <vt:lpstr>Aktuality</vt:lpstr>
      <vt:lpstr>Pivovary_uzavrene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Pepa</cp:lastModifiedBy>
  <dcterms:modified xsi:type="dcterms:W3CDTF">2019-01-28T07:09:07Z</dcterms:modified>
</cp:coreProperties>
</file>