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oyeong/Desktop/MapReduce_ISURF/doc/"/>
    </mc:Choice>
  </mc:AlternateContent>
  <bookViews>
    <workbookView xWindow="18500" yWindow="6820" windowWidth="17680" windowHeight="10020" tabRatio="500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M18" i="1"/>
  <c r="L18" i="1"/>
  <c r="N13" i="1"/>
  <c r="M13" i="1"/>
  <c r="L13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N8" i="1"/>
  <c r="M8" i="1"/>
  <c r="L8" i="1"/>
  <c r="N36" i="1"/>
  <c r="M36" i="1"/>
  <c r="L36" i="1"/>
  <c r="Z40" i="1"/>
  <c r="Y40" i="1"/>
  <c r="X40" i="1"/>
  <c r="Z39" i="1"/>
  <c r="Y39" i="1"/>
  <c r="X39" i="1"/>
  <c r="Z38" i="1"/>
  <c r="Y38" i="1"/>
  <c r="X46" i="1"/>
  <c r="X38" i="1"/>
  <c r="Z37" i="1"/>
  <c r="Y37" i="1"/>
  <c r="X37" i="1"/>
  <c r="Z36" i="1"/>
  <c r="Y36" i="1"/>
  <c r="X36" i="1"/>
  <c r="Z8" i="1"/>
  <c r="Y8" i="1"/>
  <c r="X8" i="1"/>
  <c r="Z9" i="1"/>
  <c r="Y9" i="1"/>
  <c r="X9" i="1"/>
  <c r="Z10" i="1"/>
  <c r="Y10" i="1"/>
  <c r="X10" i="1"/>
  <c r="Z11" i="1"/>
  <c r="Y11" i="1"/>
  <c r="X11" i="1"/>
  <c r="Z12" i="1"/>
  <c r="Y12" i="1"/>
  <c r="X12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8" i="1"/>
  <c r="Y18" i="1"/>
  <c r="X18" i="1"/>
  <c r="Z19" i="1"/>
  <c r="Y19" i="1"/>
  <c r="X19" i="1"/>
  <c r="Z20" i="1"/>
  <c r="Y20" i="1"/>
  <c r="X20" i="1"/>
  <c r="Z21" i="1"/>
  <c r="Y21" i="1"/>
  <c r="X21" i="1"/>
  <c r="Z22" i="1"/>
  <c r="Y22" i="1"/>
  <c r="X22" i="1"/>
  <c r="Z46" i="1"/>
  <c r="Y46" i="1"/>
  <c r="Z47" i="1"/>
  <c r="Y47" i="1"/>
  <c r="X47" i="1"/>
  <c r="Z48" i="1"/>
  <c r="Y48" i="1"/>
  <c r="X48" i="1"/>
  <c r="Z49" i="1"/>
  <c r="Y49" i="1"/>
  <c r="X49" i="1"/>
  <c r="Z50" i="1"/>
  <c r="Y50" i="1"/>
  <c r="X50" i="1"/>
  <c r="Z45" i="1"/>
  <c r="Y45" i="1"/>
  <c r="X45" i="1"/>
  <c r="Z44" i="1"/>
  <c r="Y44" i="1"/>
  <c r="X44" i="1"/>
  <c r="Z43" i="1"/>
  <c r="Y43" i="1"/>
  <c r="X4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T22" i="1"/>
  <c r="U22" i="1"/>
  <c r="V22" i="1"/>
  <c r="W22" i="1"/>
  <c r="T21" i="1"/>
  <c r="U21" i="1"/>
  <c r="V21" i="1"/>
  <c r="W21" i="1"/>
  <c r="T20" i="1"/>
  <c r="U20" i="1"/>
  <c r="V20" i="1"/>
  <c r="W20" i="1"/>
  <c r="T19" i="1"/>
  <c r="U19" i="1"/>
  <c r="V19" i="1"/>
  <c r="W19" i="1"/>
  <c r="T18" i="1"/>
  <c r="U18" i="1"/>
  <c r="V18" i="1"/>
  <c r="W18" i="1"/>
  <c r="T17" i="1"/>
  <c r="U17" i="1"/>
  <c r="V17" i="1"/>
  <c r="W17" i="1"/>
  <c r="T16" i="1"/>
  <c r="U16" i="1"/>
  <c r="V16" i="1"/>
  <c r="W16" i="1"/>
  <c r="T15" i="1"/>
  <c r="U15" i="1"/>
  <c r="V15" i="1"/>
  <c r="W15" i="1"/>
  <c r="T14" i="1"/>
  <c r="U14" i="1"/>
  <c r="V14" i="1"/>
  <c r="W14" i="1"/>
  <c r="T13" i="1"/>
  <c r="U13" i="1"/>
  <c r="V13" i="1"/>
  <c r="W13" i="1"/>
  <c r="T12" i="1"/>
  <c r="U12" i="1"/>
  <c r="V12" i="1"/>
  <c r="W12" i="1"/>
  <c r="T11" i="1"/>
  <c r="U11" i="1"/>
  <c r="V11" i="1"/>
  <c r="W11" i="1"/>
  <c r="T10" i="1"/>
  <c r="U10" i="1"/>
  <c r="V10" i="1"/>
  <c r="W10" i="1"/>
  <c r="T9" i="1"/>
  <c r="U9" i="1"/>
  <c r="V9" i="1"/>
  <c r="W9" i="1"/>
  <c r="T8" i="1"/>
  <c r="U8" i="1"/>
  <c r="V8" i="1"/>
  <c r="W8" i="1"/>
  <c r="L22" i="1"/>
  <c r="M22" i="1"/>
  <c r="N22" i="1"/>
  <c r="O22" i="1"/>
  <c r="L21" i="1"/>
  <c r="M21" i="1"/>
  <c r="N21" i="1"/>
  <c r="O21" i="1"/>
  <c r="L20" i="1"/>
  <c r="M20" i="1"/>
  <c r="N20" i="1"/>
  <c r="O20" i="1"/>
  <c r="L19" i="1"/>
  <c r="M19" i="1"/>
  <c r="N19" i="1"/>
  <c r="O19" i="1"/>
  <c r="O18" i="1"/>
  <c r="L17" i="1"/>
  <c r="M17" i="1"/>
  <c r="N17" i="1"/>
  <c r="O17" i="1"/>
  <c r="L16" i="1"/>
  <c r="M16" i="1"/>
  <c r="N16" i="1"/>
  <c r="O16" i="1"/>
  <c r="L15" i="1"/>
  <c r="M15" i="1"/>
  <c r="N15" i="1"/>
  <c r="O15" i="1"/>
  <c r="L14" i="1"/>
  <c r="M14" i="1"/>
  <c r="N14" i="1"/>
  <c r="O14" i="1"/>
  <c r="O13" i="1"/>
  <c r="L12" i="1"/>
  <c r="M12" i="1"/>
  <c r="N12" i="1"/>
  <c r="O12" i="1"/>
  <c r="L11" i="1"/>
  <c r="M11" i="1"/>
  <c r="N11" i="1"/>
  <c r="O11" i="1"/>
  <c r="L10" i="1"/>
  <c r="M10" i="1"/>
  <c r="N10" i="1"/>
  <c r="O10" i="1"/>
  <c r="L9" i="1"/>
  <c r="M9" i="1"/>
  <c r="N9" i="1"/>
  <c r="O9" i="1"/>
  <c r="O8" i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T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<sst xmlns="http://schemas.openxmlformats.org/spreadsheetml/2006/main" count="208" uniqueCount="33">
  <si>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</si>
  <si>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</si>
  <si>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</si>
  <si>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</si>
  <si>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</si>
  <si>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</si>
  <si>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</si>
  <si>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</si>
  <si>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</si>
  <si>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</si>
  <si>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</si>
  <si>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</si>
  <si>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</si>
  <si>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</si>
  <si>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</si>
  <si>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</si>
  <si>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</si>
  <si>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</si>
  <si>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</si>
  <si>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</si>
  <si>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</si>
  <si>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</si>
  <si>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</si>
  <si>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</si>
  <si>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</si>
  <si>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</si>
  <si>
    <t>Standalone
Operation
[1M1R]</t>
  </si>
  <si>
    <t>Average Comment's length</t>
  </si>
  <si>
    <t>Median and standard deviation</t>
  </si>
  <si>
    <t>Average of user's age</t>
  </si>
  <si>
    <t xml:space="preserve"> </t>
  </si>
  <si>
    <t>Comments.xml</t>
  </si>
  <si>
    <t>Users.xml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</si>
</sst>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0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8" fillId="7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5" fillId="9" borderId="0" xfId="0" applyFont="1" applyFill="1"/>
    <xf numFmtId="0" fontId="5" fillId="10" borderId="0" xfId="0" applyFont="1" applyFill="1"/>
    <xf numFmtId="0" fontId="9" fillId="8" borderId="0" xfId="0" applyFont="1" applyFill="1"/>
    <xf numFmtId="2" fontId="9" fillId="8" borderId="0" xfId="0" applyNumberFormat="1" applyFont="1" applyFill="1"/>
    <xf numFmtId="0" fontId="5" fillId="9" borderId="1" xfId="0" applyFont="1" applyFill="1" applyBorder="1"/>
    <xf numFmtId="0" fontId="5" fillId="10" borderId="2" xfId="0" applyFont="1" applyFill="1" applyBorder="1"/>
    <xf numFmtId="0" fontId="9" fillId="8" borderId="2" xfId="0" applyFont="1" applyFill="1" applyBorder="1"/>
    <xf numFmtId="0" fontId="5" fillId="10" borderId="0" xfId="0" applyFont="1" applyFill="1" applyBorder="1"/>
    <xf numFmtId="0" fontId="0" fillId="11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[Single node]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'[1]2.Filtering'!$G$8:$G$12</c:f>
              <c:numCache>
                <c:formatCode>0.00</c:formatCode>
                <c:ptCount val="5"/>
                <c:pt idx="0">
                  <c:v>169.6666666666667</c:v>
                </c:pt>
                <c:pt idx="1">
                  <c:v>85.66666666666667</c:v>
                </c:pt>
                <c:pt idx="2">
                  <c:v>43.0</c:v>
                </c:pt>
                <c:pt idx="3">
                  <c:v>23.0</c:v>
                </c:pt>
                <c:pt idx="4">
                  <c:v>23.33333333333328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'[1]2.Filtering'!$B$8:$B$12</c15:sqref>
                        </c15:formulaRef>
                      </c:ext>
                    </c:extLst>
                    <c:strCache>
                      <c:ptCount val="5"/>
                      <c:pt idx="0">
                        <c:v>Standalone_x000d_Operation_x000d_[1M1R]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'[1]2.Filtering'!$G$13:$G$17</c:f>
              <c:numCache>
                <c:formatCode>0.00</c:formatCode>
                <c:ptCount val="5"/>
                <c:pt idx="0">
                  <c:v>172.6666666666667</c:v>
                </c:pt>
                <c:pt idx="1">
                  <c:v>103.6666666666667</c:v>
                </c:pt>
                <c:pt idx="2">
                  <c:v>64.66666666666667</c:v>
                </c:pt>
                <c:pt idx="3">
                  <c:v>48.66666666666658</c:v>
                </c:pt>
                <c:pt idx="4">
                  <c:v>37.66666666666658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'[1]2.Filtering'!$B$13:$B$17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Pseudo-DP_x000d_Operation_x000d_[2M2R]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'[1]2.Filtering'!$G$18:$G$22</c:f>
              <c:numCache>
                <c:formatCode>0.00</c:formatCode>
                <c:ptCount val="5"/>
                <c:pt idx="0">
                  <c:v>129.6666666666667</c:v>
                </c:pt>
                <c:pt idx="1">
                  <c:v>77.66666666666667</c:v>
                </c:pt>
                <c:pt idx="2">
                  <c:v>55.0</c:v>
                </c:pt>
                <c:pt idx="3">
                  <c:v>39.0</c:v>
                </c:pt>
                <c:pt idx="4">
                  <c:v>32.66666666666658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'[1]2.Filtering'!$B$18:$B$22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Pseudo-DP_x000d_Operation_x000d_[4M2R]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06700592"/>
        <c:axId val="2109997312"/>
      </c:lineChart>
      <c:catAx>
        <c:axId val="21067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97312"/>
        <c:crosses val="autoZero"/>
        <c:auto val="1"/>
        <c:lblAlgn val="ctr"/>
        <c:lblOffset val="100"/>
        <c:noMultiLvlLbl val="0"/>
      </c:catAx>
      <c:valAx>
        <c:axId val="210999731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00592"/>
        <c:crosses val="autoZero"/>
        <c:crossBetween val="between"/>
        <c:majorUnit val="6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[RPi Cluster]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'2.Filtering'!$G$23:$G$27</c:f>
              <c:numCache>
                <c:formatCode>0.00</c:formatCode>
                <c:ptCount val="5"/>
                <c:pt idx="0">
                  <c:v>462.6666666666666</c:v>
                </c:pt>
                <c:pt idx="1">
                  <c:v>428.6666666666666</c:v>
                </c:pt>
                <c:pt idx="2">
                  <c:v>476.6666666666666</c:v>
                </c:pt>
                <c:pt idx="3">
                  <c:v>561.6666666666666</c:v>
                </c:pt>
                <c:pt idx="4">
                  <c:v>604.0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'[1]2.Filtering'!$B$23:$B$27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Fully-DP_x000d_Operation_x000d_[6M6R]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'[1]2.Filtering'!$G$28:$G$32</c:f>
              <c:numCache>
                <c:formatCode>0.00</c:formatCode>
                <c:ptCount val="5"/>
                <c:pt idx="0">
                  <c:v>333.3333333333333</c:v>
                </c:pt>
                <c:pt idx="1">
                  <c:v>303.0</c:v>
                </c:pt>
                <c:pt idx="2">
                  <c:v>345.0</c:v>
                </c:pt>
                <c:pt idx="3">
                  <c:v>339.6666666666666</c:v>
                </c:pt>
                <c:pt idx="4">
                  <c:v>603.0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'[1]2.Filtering'!$B$28:$B$32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Fully-DP_x000d_Operation_x000d_[12M6R]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08521504"/>
        <c:axId val="2108524848"/>
      </c:lineChart>
      <c:catAx>
        <c:axId val="21085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24848"/>
        <c:crosses val="autoZero"/>
        <c:auto val="1"/>
        <c:lblAlgn val="ctr"/>
        <c:lblOffset val="100"/>
        <c:noMultiLvlLbl val="0"/>
      </c:catAx>
      <c:valAx>
        <c:axId val="2108524848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21504"/>
        <c:crosses val="autoZero"/>
        <c:crossBetween val="between"/>
        <c:majorUnit val="10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25</xdr:col>
      <xdr:colOff>437744</xdr:colOff>
      <xdr:row>31</xdr:row>
      <xdr:rowOff>188609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31</xdr:col>
      <xdr:colOff>437744</xdr:colOff>
      <xdr:row>31</xdr:row>
      <xdr:rowOff>188609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60"/>
  <sheetViews>
    <sheetView tabSelected="1" topLeftCell="I11" zoomScale="86" workbookViewId="0">
      <selection activeCell="N26" sqref="N26"/>
    </sheetView>
  </sheetViews>
  <sheetFormatPr baseColWidth="10" defaultRowHeight="16" x14ac:dyDescent="0.2"/>
  <cols>
    <col min="4" max="19" width="10.83203125" customWidth="1"/>
    <col min="20" max="23" width="10.83203125" hidden="1" customWidth="1"/>
  </cols>
  <sheetData>
    <row r="2" spans="2:27" x14ac:dyDescent="0.2">
      <c r="B2" t="s">
        <v>15</v>
      </c>
    </row>
    <row r="3" spans="2:27" x14ac:dyDescent="0.2">
      <c r="B3" t="s">
        <v>16</v>
      </c>
      <c r="C3" s="12"/>
    </row>
    <row r="4" spans="2:27" x14ac:dyDescent="0.2">
      <c r="B4" t="s">
        <v>17</v>
      </c>
      <c r="C4" s="12"/>
    </row>
    <row r="5" spans="2:27" x14ac:dyDescent="0.2">
      <c r="C5" s="12"/>
      <c r="L5" s="34" t="s">
        <v>31</v>
      </c>
      <c r="M5" s="34"/>
      <c r="N5" s="34"/>
      <c r="O5" s="34"/>
      <c r="P5" s="34" t="s">
        <v>32</v>
      </c>
      <c r="Q5" s="34"/>
      <c r="R5" s="34"/>
      <c r="S5" s="34"/>
      <c r="T5" s="34" t="s">
        <v>31</v>
      </c>
      <c r="U5" s="34"/>
      <c r="V5" s="34"/>
      <c r="W5" s="34"/>
      <c r="X5" s="34" t="s">
        <v>31</v>
      </c>
      <c r="Y5" s="34"/>
      <c r="Z5" s="34"/>
      <c r="AA5" s="34"/>
    </row>
    <row r="6" spans="2:27" x14ac:dyDescent="0.2">
      <c r="B6" s="41" t="s">
        <v>21</v>
      </c>
      <c r="C6" s="41"/>
      <c r="D6" s="35" t="s">
        <v>14</v>
      </c>
      <c r="E6" s="35"/>
      <c r="F6" s="35"/>
      <c r="G6" s="35"/>
      <c r="H6" s="35" t="s">
        <v>23</v>
      </c>
      <c r="I6" s="35"/>
      <c r="J6" s="35"/>
      <c r="K6" s="35"/>
      <c r="L6" s="35" t="s">
        <v>13</v>
      </c>
      <c r="M6" s="35"/>
      <c r="N6" s="35"/>
      <c r="O6" s="35"/>
      <c r="P6" s="35" t="s">
        <v>24</v>
      </c>
      <c r="Q6" s="35"/>
      <c r="R6" s="35"/>
      <c r="S6" s="35"/>
      <c r="T6" s="35" t="s">
        <v>27</v>
      </c>
      <c r="U6" s="35"/>
      <c r="V6" s="35"/>
      <c r="W6" s="35"/>
      <c r="X6" s="35" t="s">
        <v>28</v>
      </c>
      <c r="Y6" s="35"/>
      <c r="Z6" s="35"/>
      <c r="AA6" s="35"/>
    </row>
    <row r="7" spans="2:27" x14ac:dyDescent="0.2">
      <c r="B7" s="42"/>
      <c r="C7" s="42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9" t="s">
        <v>0</v>
      </c>
      <c r="M7" s="19" t="s">
        <v>1</v>
      </c>
      <c r="N7" s="19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  <c r="T7" s="19" t="s">
        <v>0</v>
      </c>
      <c r="U7" s="19" t="s">
        <v>1</v>
      </c>
      <c r="V7" s="19" t="s">
        <v>2</v>
      </c>
      <c r="W7" s="11" t="s">
        <v>12</v>
      </c>
      <c r="X7" s="19" t="s">
        <v>0</v>
      </c>
      <c r="Y7" s="19" t="s">
        <v>1</v>
      </c>
      <c r="Z7" s="19" t="s">
        <v>2</v>
      </c>
      <c r="AA7" s="11" t="s">
        <v>12</v>
      </c>
    </row>
    <row r="8" spans="2:27" ht="16" customHeight="1" x14ac:dyDescent="0.2">
      <c r="B8" s="37" t="s">
        <v>26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0">
        <f>25 * 60 + 49</f>
        <v>1549</v>
      </c>
      <c r="M8" s="20">
        <f>25 * 60 + 49</f>
        <v>1549</v>
      </c>
      <c r="N8" s="20">
        <f xml:space="preserve"> 21* 60 + 49</f>
        <v>1309</v>
      </c>
      <c r="O8" s="15">
        <f xml:space="preserve"> AVERAGE(L8,M8,N8)</f>
        <v>1469</v>
      </c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  <c r="T8" s="21">
        <f>25 * 60 + 31</f>
        <v>1531</v>
      </c>
      <c r="U8" s="21">
        <f>25 * 60 +31</f>
        <v>1531</v>
      </c>
      <c r="V8" s="21">
        <f>25 * 60 + 31</f>
        <v>1531</v>
      </c>
      <c r="W8" s="15">
        <f xml:space="preserve"> AVERAGE(T8,U8,V8)</f>
        <v>1531</v>
      </c>
      <c r="X8" s="21">
        <f>26 * 60 + 16</f>
        <v>1576</v>
      </c>
      <c r="Y8" s="21">
        <f>26 * 60 + 17</f>
        <v>1577</v>
      </c>
      <c r="Z8" s="21">
        <f>26 * 60 + 20</f>
        <v>1580</v>
      </c>
      <c r="AA8" s="15">
        <f xml:space="preserve"> AVERAGE(X8,Y8,Z8)</f>
        <v>1577.6666666666667</v>
      </c>
    </row>
    <row r="9" spans="2:27" x14ac:dyDescent="0.2">
      <c r="B9" s="38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1">
        <f xml:space="preserve"> 13 * 60 + 3</f>
        <v>783</v>
      </c>
      <c r="M9" s="21">
        <f xml:space="preserve"> 13 * 60 + 3</f>
        <v>783</v>
      </c>
      <c r="N9" s="21">
        <f xml:space="preserve"> 13 * 60 + 3</f>
        <v>783</v>
      </c>
      <c r="O9" s="15">
        <f t="shared" ref="O9:O22" si="2" xml:space="preserve"> AVERAGE(L9,M9,N9)</f>
        <v>783</v>
      </c>
      <c r="P9" s="2">
        <v>88</v>
      </c>
      <c r="Q9" s="2">
        <v>89</v>
      </c>
      <c r="R9" s="2">
        <v>88</v>
      </c>
      <c r="S9" s="15">
        <f t="shared" si="0"/>
        <v>88.333333333333329</v>
      </c>
      <c r="T9" s="21">
        <f xml:space="preserve"> 12* 60 + 47</f>
        <v>767</v>
      </c>
      <c r="U9" s="21">
        <f>12 * 60 + 47</f>
        <v>767</v>
      </c>
      <c r="V9" s="21">
        <f>12 * 60 + 47</f>
        <v>767</v>
      </c>
      <c r="W9" s="15">
        <f t="shared" ref="W9:W22" si="3" xml:space="preserve"> AVERAGE(T9,U9,V9)</f>
        <v>767</v>
      </c>
      <c r="X9" s="21">
        <f>13*60 +26</f>
        <v>806</v>
      </c>
      <c r="Y9" s="21">
        <f>13 * 60 + 27</f>
        <v>807</v>
      </c>
      <c r="Z9" s="21">
        <f>13 * 60 + 30</f>
        <v>810</v>
      </c>
      <c r="AA9" s="15">
        <f t="shared" ref="AA9:AA22" si="4" xml:space="preserve"> AVERAGE(X9,Y9,Z9)</f>
        <v>807.66666666666663</v>
      </c>
    </row>
    <row r="10" spans="2:27" x14ac:dyDescent="0.2">
      <c r="B10" s="38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1">
        <f xml:space="preserve"> 6 * 60 + 38</f>
        <v>398</v>
      </c>
      <c r="M10" s="21">
        <f xml:space="preserve"> 6 * 60 + 35</f>
        <v>395</v>
      </c>
      <c r="N10" s="21">
        <f xml:space="preserve"> 6 * 60 + 41</f>
        <v>401</v>
      </c>
      <c r="O10" s="15">
        <f t="shared" si="2"/>
        <v>398</v>
      </c>
      <c r="P10" s="2">
        <v>48</v>
      </c>
      <c r="Q10" s="2">
        <v>48</v>
      </c>
      <c r="R10" s="2">
        <v>46</v>
      </c>
      <c r="S10" s="15">
        <f t="shared" si="0"/>
        <v>47.333333333333336</v>
      </c>
      <c r="T10" s="21">
        <f xml:space="preserve"> 6 * 60 + 26</f>
        <v>386</v>
      </c>
      <c r="U10" s="21">
        <f xml:space="preserve"> 6 * 60 +27</f>
        <v>387</v>
      </c>
      <c r="V10" s="21">
        <f xml:space="preserve"> 6 * 60 + 26</f>
        <v>386</v>
      </c>
      <c r="W10" s="15">
        <f t="shared" si="3"/>
        <v>386.33333333333331</v>
      </c>
      <c r="X10" s="21">
        <f>7 * 60 + 11</f>
        <v>431</v>
      </c>
      <c r="Y10" s="21">
        <f>7 * 60 + 2</f>
        <v>422</v>
      </c>
      <c r="Z10" s="21">
        <f>7 * 60 + 2</f>
        <v>422</v>
      </c>
      <c r="AA10" s="15">
        <f t="shared" si="4"/>
        <v>425</v>
      </c>
    </row>
    <row r="11" spans="2:27" x14ac:dyDescent="0.2">
      <c r="B11" s="38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1">
        <f xml:space="preserve"> 6 * 60 + 34</f>
        <v>394</v>
      </c>
      <c r="M11" s="21">
        <f xml:space="preserve"> 6 * 60 +25</f>
        <v>385</v>
      </c>
      <c r="N11" s="21">
        <f xml:space="preserve"> 6 * 60 + 29</f>
        <v>389</v>
      </c>
      <c r="O11" s="15">
        <f t="shared" si="2"/>
        <v>389.33333333333331</v>
      </c>
      <c r="P11" s="2">
        <v>27</v>
      </c>
      <c r="Q11" s="2">
        <v>27</v>
      </c>
      <c r="R11" s="2">
        <v>26</v>
      </c>
      <c r="S11" s="15">
        <f>SUM(P11:R11)/3</f>
        <v>26.666666666666668</v>
      </c>
      <c r="T11" s="21">
        <f>4 * 60 + 34</f>
        <v>274</v>
      </c>
      <c r="U11" s="21">
        <f>4 * 60 + 20</f>
        <v>260</v>
      </c>
      <c r="V11" s="21">
        <f>4 * 60 + 22</f>
        <v>262</v>
      </c>
      <c r="W11" s="15">
        <f t="shared" si="3"/>
        <v>265.33333333333331</v>
      </c>
      <c r="X11" s="21">
        <f>6 * 60 + 50</f>
        <v>410</v>
      </c>
      <c r="Y11" s="21">
        <f>6 * 60 + 47</f>
        <v>407</v>
      </c>
      <c r="Z11" s="21">
        <f>6 * 60 + 56</f>
        <v>416</v>
      </c>
      <c r="AA11" s="15">
        <f t="shared" si="4"/>
        <v>411</v>
      </c>
    </row>
    <row r="12" spans="2:27" x14ac:dyDescent="0.2">
      <c r="B12" s="40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22">
        <f xml:space="preserve"> 4 * 60 + 44</f>
        <v>284</v>
      </c>
      <c r="M12" s="22">
        <f xml:space="preserve"> 4 * 60 + 46</f>
        <v>286</v>
      </c>
      <c r="N12" s="22">
        <f xml:space="preserve"> 4 * 60 + 34</f>
        <v>274</v>
      </c>
      <c r="O12" s="15">
        <f t="shared" si="2"/>
        <v>281.33333333333331</v>
      </c>
      <c r="P12" s="5">
        <v>24</v>
      </c>
      <c r="Q12" s="5">
        <v>23</v>
      </c>
      <c r="R12" s="5">
        <v>26</v>
      </c>
      <c r="S12" s="15">
        <f>SUM(P12:R12)/3</f>
        <v>24.333333333333332</v>
      </c>
      <c r="T12" s="22">
        <f>3 * 60 + 25</f>
        <v>205</v>
      </c>
      <c r="U12" s="22">
        <f>3 * 60 + 43</f>
        <v>223</v>
      </c>
      <c r="V12" s="22">
        <f>3 * 60 + 25</f>
        <v>205</v>
      </c>
      <c r="W12" s="15">
        <f t="shared" si="3"/>
        <v>211</v>
      </c>
      <c r="X12" s="22">
        <f>5*60 + 17</f>
        <v>317</v>
      </c>
      <c r="Y12" s="22">
        <f>5 * 60 +  14</f>
        <v>314</v>
      </c>
      <c r="Z12" s="22">
        <f>5 * 60 + 6</f>
        <v>306</v>
      </c>
      <c r="AA12" s="15">
        <f t="shared" si="4"/>
        <v>312.33333333333331</v>
      </c>
    </row>
    <row r="13" spans="2:27" ht="16" customHeight="1" x14ac:dyDescent="0.2">
      <c r="B13" s="36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23">
        <f>26 * 60 + 35</f>
        <v>1595</v>
      </c>
      <c r="M13" s="23">
        <f>26 * 60 + 42</f>
        <v>1602</v>
      </c>
      <c r="N13" s="23">
        <f>27 * 60 + 25</f>
        <v>1645</v>
      </c>
      <c r="O13" s="15">
        <f t="shared" si="2"/>
        <v>1614</v>
      </c>
      <c r="P13" s="8">
        <v>220</v>
      </c>
      <c r="Q13" s="8">
        <v>197</v>
      </c>
      <c r="R13" s="8">
        <v>195</v>
      </c>
      <c r="S13" s="15">
        <f t="shared" ref="S13:S15" si="5">SUM(P13:R13)/3</f>
        <v>204</v>
      </c>
      <c r="T13" s="23">
        <f>25 * 60 + 56</f>
        <v>1556</v>
      </c>
      <c r="U13" s="23">
        <f>25 * 60 + 56</f>
        <v>1556</v>
      </c>
      <c r="V13" s="23">
        <f>25 * 60 + 48</f>
        <v>1548</v>
      </c>
      <c r="W13" s="15">
        <f t="shared" si="3"/>
        <v>1553.3333333333333</v>
      </c>
      <c r="X13" s="23">
        <f>26 * 60 + 29</f>
        <v>1589</v>
      </c>
      <c r="Y13" s="23">
        <f>26 * 60 + 30</f>
        <v>1590</v>
      </c>
      <c r="Z13" s="23">
        <f>26 * 60 + 20</f>
        <v>1580</v>
      </c>
      <c r="AA13" s="15">
        <f t="shared" si="4"/>
        <v>1586.3333333333333</v>
      </c>
    </row>
    <row r="14" spans="2:27" x14ac:dyDescent="0.2">
      <c r="B14" s="38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1">
        <f xml:space="preserve"> 10 * 60 + 10</f>
        <v>610</v>
      </c>
      <c r="M14" s="21">
        <f xml:space="preserve"> 10 * 60 + 7</f>
        <v>607</v>
      </c>
      <c r="N14" s="21">
        <f xml:space="preserve"> 10 * 60 + 15</f>
        <v>615</v>
      </c>
      <c r="O14" s="15">
        <f t="shared" si="2"/>
        <v>610.66666666666663</v>
      </c>
      <c r="P14" s="2">
        <v>116</v>
      </c>
      <c r="Q14" s="2">
        <v>115</v>
      </c>
      <c r="R14" s="2">
        <v>121</v>
      </c>
      <c r="S14" s="15">
        <f t="shared" si="5"/>
        <v>117.33333333333333</v>
      </c>
      <c r="T14" s="21">
        <f>13 * 60 + 17</f>
        <v>797</v>
      </c>
      <c r="U14" s="21">
        <f>13 * 60 + 12</f>
        <v>792</v>
      </c>
      <c r="V14" s="21">
        <f>13 * 60 + 10</f>
        <v>790</v>
      </c>
      <c r="W14" s="15">
        <f t="shared" si="3"/>
        <v>793</v>
      </c>
      <c r="X14" s="21">
        <f>13 * 60 + 45</f>
        <v>825</v>
      </c>
      <c r="Y14" s="21">
        <f>13 * 60 + 45</f>
        <v>825</v>
      </c>
      <c r="Z14" s="21">
        <f>14 * 60 + 3</f>
        <v>843</v>
      </c>
      <c r="AA14" s="15">
        <f t="shared" si="4"/>
        <v>831</v>
      </c>
    </row>
    <row r="15" spans="2:27" x14ac:dyDescent="0.2">
      <c r="B15" s="38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1">
        <f xml:space="preserve"> 10* 60 + 15</f>
        <v>615</v>
      </c>
      <c r="M15" s="21">
        <f xml:space="preserve"> 10 * 60 + 8</f>
        <v>608</v>
      </c>
      <c r="N15" s="21">
        <f xml:space="preserve"> 10 * 60 + 13</f>
        <v>613</v>
      </c>
      <c r="O15" s="15">
        <f t="shared" si="2"/>
        <v>612</v>
      </c>
      <c r="P15" s="2">
        <v>85</v>
      </c>
      <c r="Q15" s="2">
        <v>88</v>
      </c>
      <c r="R15" s="2">
        <v>86</v>
      </c>
      <c r="S15" s="15">
        <f t="shared" si="5"/>
        <v>86.333333333333329</v>
      </c>
      <c r="T15" s="21">
        <f xml:space="preserve"> 9 * 60 + 57</f>
        <v>597</v>
      </c>
      <c r="U15" s="21">
        <f xml:space="preserve"> 9 * 60 + 57</f>
        <v>597</v>
      </c>
      <c r="V15" s="21">
        <f xml:space="preserve"> 9 * 60 + 55</f>
        <v>595</v>
      </c>
      <c r="W15" s="15">
        <f t="shared" si="3"/>
        <v>596.33333333333337</v>
      </c>
      <c r="X15" s="21">
        <f>10 * 60 + 31</f>
        <v>631</v>
      </c>
      <c r="Y15" s="21">
        <f>10 * 60 + 29</f>
        <v>629</v>
      </c>
      <c r="Z15" s="21">
        <f>10 * 60 + 42</f>
        <v>642</v>
      </c>
      <c r="AA15" s="15">
        <f t="shared" si="4"/>
        <v>634</v>
      </c>
    </row>
    <row r="16" spans="2:27" x14ac:dyDescent="0.2">
      <c r="B16" s="38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1">
        <f xml:space="preserve"> 6 * 60 + 57</f>
        <v>417</v>
      </c>
      <c r="M16" s="21">
        <f>7*60</f>
        <v>420</v>
      </c>
      <c r="N16" s="21">
        <f xml:space="preserve"> 6 * 60 + 59</f>
        <v>419</v>
      </c>
      <c r="O16" s="15">
        <f t="shared" si="2"/>
        <v>418.66666666666669</v>
      </c>
      <c r="P16" s="2">
        <v>61</v>
      </c>
      <c r="Q16" s="2">
        <v>68</v>
      </c>
      <c r="R16" s="2">
        <v>65</v>
      </c>
      <c r="S16" s="15">
        <f>SUM(P16:R16)/3</f>
        <v>64.666666666666671</v>
      </c>
      <c r="T16" s="21">
        <f>6* 60 + 3</f>
        <v>363</v>
      </c>
      <c r="U16" s="21">
        <f>5 * 60 + 45</f>
        <v>345</v>
      </c>
      <c r="V16" s="21">
        <f>5 * 60 + 39</f>
        <v>339</v>
      </c>
      <c r="W16" s="15">
        <f t="shared" si="3"/>
        <v>349</v>
      </c>
      <c r="X16" s="21">
        <f xml:space="preserve"> 8 * 60 + 3</f>
        <v>483</v>
      </c>
      <c r="Y16" s="21">
        <f>7 * 60 + 23</f>
        <v>443</v>
      </c>
      <c r="Z16" s="21">
        <f>7 * 60 + 17</f>
        <v>437</v>
      </c>
      <c r="AA16" s="15">
        <f t="shared" si="4"/>
        <v>454.33333333333331</v>
      </c>
    </row>
    <row r="17" spans="2:27" x14ac:dyDescent="0.2">
      <c r="B17" s="40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22">
        <f xml:space="preserve"> 4 * 60 + 59</f>
        <v>299</v>
      </c>
      <c r="M17" s="22">
        <f xml:space="preserve"> 4 * 60 +57</f>
        <v>297</v>
      </c>
      <c r="N17" s="22">
        <f xml:space="preserve"> 4* 60 + 47</f>
        <v>287</v>
      </c>
      <c r="O17" s="15">
        <f t="shared" si="2"/>
        <v>294.33333333333331</v>
      </c>
      <c r="P17" s="5">
        <v>57</v>
      </c>
      <c r="Q17" s="5">
        <v>59</v>
      </c>
      <c r="R17" s="5">
        <v>53</v>
      </c>
      <c r="S17" s="15">
        <f>SUM(P17:R17)/3</f>
        <v>56.333333333333336</v>
      </c>
      <c r="T17" s="22">
        <f>4 * 60 + 33</f>
        <v>273</v>
      </c>
      <c r="U17" s="22">
        <f>4 * 60 + 22</f>
        <v>262</v>
      </c>
      <c r="V17" s="22">
        <f>4 * 60 + 23</f>
        <v>263</v>
      </c>
      <c r="W17" s="15">
        <f t="shared" si="3"/>
        <v>266</v>
      </c>
      <c r="X17" s="22">
        <f>4 * 60 + 54</f>
        <v>294</v>
      </c>
      <c r="Y17" s="22">
        <f>5 * 60 + 6</f>
        <v>306</v>
      </c>
      <c r="Z17" s="22">
        <f>4 * 60 + 57</f>
        <v>297</v>
      </c>
      <c r="AA17" s="15">
        <f t="shared" si="4"/>
        <v>299</v>
      </c>
    </row>
    <row r="18" spans="2:27" ht="16" customHeight="1" x14ac:dyDescent="0.2">
      <c r="B18" s="36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23">
        <f>27 * 60 + 22</f>
        <v>1642</v>
      </c>
      <c r="M18" s="23">
        <f>26 * 60 + 16</f>
        <v>1576</v>
      </c>
      <c r="N18" s="23">
        <f>26 * 60 + 16</f>
        <v>1576</v>
      </c>
      <c r="O18" s="15">
        <f t="shared" si="2"/>
        <v>1598</v>
      </c>
      <c r="P18" s="8">
        <v>156</v>
      </c>
      <c r="Q18" s="8">
        <v>177</v>
      </c>
      <c r="R18" s="8">
        <v>175</v>
      </c>
      <c r="S18" s="15">
        <f t="shared" ref="S18:S20" si="6">SUM(P18:R18)/3</f>
        <v>169.33333333333334</v>
      </c>
      <c r="T18" s="23">
        <f xml:space="preserve"> 25 * 60 + 50</f>
        <v>1550</v>
      </c>
      <c r="U18" s="23">
        <f>25 * 60 + 47</f>
        <v>1547</v>
      </c>
      <c r="V18" s="23">
        <f>26 * 60 + 58</f>
        <v>1618</v>
      </c>
      <c r="W18" s="15">
        <f t="shared" si="3"/>
        <v>1571.6666666666667</v>
      </c>
      <c r="X18" s="23">
        <f>26 * 60 +42</f>
        <v>1602</v>
      </c>
      <c r="Y18" s="23">
        <f>26 * 60 + 26</f>
        <v>1586</v>
      </c>
      <c r="Z18" s="23">
        <f>26 * 60 + 22</f>
        <v>1582</v>
      </c>
      <c r="AA18" s="15">
        <f t="shared" si="4"/>
        <v>1590</v>
      </c>
    </row>
    <row r="19" spans="2:27" x14ac:dyDescent="0.2">
      <c r="B19" s="38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1">
        <f>10*60+9</f>
        <v>609</v>
      </c>
      <c r="M19" s="21">
        <f xml:space="preserve"> 10 * 60 + 10</f>
        <v>610</v>
      </c>
      <c r="N19" s="21">
        <f xml:space="preserve"> 10 * 60 + 8</f>
        <v>608</v>
      </c>
      <c r="O19" s="15">
        <f t="shared" si="2"/>
        <v>609</v>
      </c>
      <c r="P19" s="2">
        <v>110</v>
      </c>
      <c r="Q19" s="2">
        <v>120</v>
      </c>
      <c r="R19" s="2">
        <v>122</v>
      </c>
      <c r="S19" s="15">
        <f t="shared" si="6"/>
        <v>117.33333333333333</v>
      </c>
      <c r="T19" s="21">
        <f>9 * 60 + 57</f>
        <v>597</v>
      </c>
      <c r="U19" s="21">
        <f xml:space="preserve"> 9 * 60 + 56</f>
        <v>596</v>
      </c>
      <c r="V19" s="21">
        <f xml:space="preserve"> 10 * 60 + 1</f>
        <v>601</v>
      </c>
      <c r="W19" s="15">
        <f t="shared" si="3"/>
        <v>598</v>
      </c>
      <c r="X19" s="21">
        <f xml:space="preserve"> 13* 60 + 33</f>
        <v>813</v>
      </c>
      <c r="Y19" s="21">
        <f>13 * 60 + 19</f>
        <v>799</v>
      </c>
      <c r="Z19" s="21">
        <f>13 * 60 + 19</f>
        <v>799</v>
      </c>
      <c r="AA19" s="15">
        <f t="shared" si="4"/>
        <v>803.66666666666663</v>
      </c>
    </row>
    <row r="20" spans="2:27" x14ac:dyDescent="0.2">
      <c r="B20" s="38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1">
        <f xml:space="preserve"> 8 * 60 + 30</f>
        <v>510</v>
      </c>
      <c r="M20" s="21">
        <f xml:space="preserve"> 8 * 60 + 8</f>
        <v>488</v>
      </c>
      <c r="N20" s="21">
        <f xml:space="preserve"> 7 * 60 + 46</f>
        <v>466</v>
      </c>
      <c r="O20" s="15">
        <f t="shared" si="2"/>
        <v>488</v>
      </c>
      <c r="P20" s="2">
        <v>83</v>
      </c>
      <c r="Q20" s="2">
        <v>74</v>
      </c>
      <c r="R20" s="2">
        <v>79</v>
      </c>
      <c r="S20" s="15">
        <f t="shared" si="6"/>
        <v>78.666666666666671</v>
      </c>
      <c r="T20" s="21">
        <f>9 * 60 + 56</f>
        <v>596</v>
      </c>
      <c r="U20" s="21">
        <f xml:space="preserve"> 9 * 60 + 55</f>
        <v>595</v>
      </c>
      <c r="V20" s="21">
        <f>9 * 60 + 56</f>
        <v>596</v>
      </c>
      <c r="W20" s="15">
        <f t="shared" si="3"/>
        <v>595.66666666666663</v>
      </c>
      <c r="X20" s="21">
        <f xml:space="preserve"> 8 * 60 + 15</f>
        <v>495</v>
      </c>
      <c r="Y20" s="21">
        <f>9 * 60 +10</f>
        <v>550</v>
      </c>
      <c r="Z20" s="21">
        <f xml:space="preserve"> 9 * 60 + 36</f>
        <v>576</v>
      </c>
      <c r="AA20" s="15">
        <f t="shared" si="4"/>
        <v>540.33333333333337</v>
      </c>
    </row>
    <row r="21" spans="2:27" x14ac:dyDescent="0.2">
      <c r="B21" s="38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1">
        <f xml:space="preserve"> 6 * 60 + 5</f>
        <v>365</v>
      </c>
      <c r="M21" s="21">
        <f xml:space="preserve"> 6 * 60 + 2</f>
        <v>362</v>
      </c>
      <c r="N21" s="21">
        <f xml:space="preserve"> 6 * 60 + 1</f>
        <v>361</v>
      </c>
      <c r="O21" s="15">
        <f t="shared" si="2"/>
        <v>362.66666666666669</v>
      </c>
      <c r="P21" s="2">
        <v>57</v>
      </c>
      <c r="Q21" s="2">
        <v>59</v>
      </c>
      <c r="R21" s="2">
        <v>61</v>
      </c>
      <c r="S21" s="15">
        <f>SUM(P21:R21)/3</f>
        <v>59</v>
      </c>
      <c r="T21" s="21">
        <f>5 * 60 + 35</f>
        <v>335</v>
      </c>
      <c r="U21" s="21">
        <f xml:space="preserve"> 5 * 60 + 50</f>
        <v>350</v>
      </c>
      <c r="V21" s="21">
        <f>5 * 60 +59</f>
        <v>359</v>
      </c>
      <c r="W21" s="15">
        <f t="shared" si="3"/>
        <v>348</v>
      </c>
      <c r="X21" s="21">
        <f>6 * 60 + 30</f>
        <v>390</v>
      </c>
      <c r="Y21" s="21">
        <f>6 * 60 + 16</f>
        <v>376</v>
      </c>
      <c r="Z21" s="21">
        <f>7 * 60 + 7</f>
        <v>427</v>
      </c>
      <c r="AA21" s="15">
        <f t="shared" si="4"/>
        <v>397.66666666666669</v>
      </c>
    </row>
    <row r="22" spans="2:27" x14ac:dyDescent="0.2">
      <c r="B22" s="40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22">
        <f xml:space="preserve"> 4 * 60 +17</f>
        <v>257</v>
      </c>
      <c r="M22" s="22">
        <f xml:space="preserve"> 4 * 60 + 13</f>
        <v>253</v>
      </c>
      <c r="N22" s="22">
        <f xml:space="preserve"> 4 * 60 + 13</f>
        <v>253</v>
      </c>
      <c r="O22" s="15">
        <f t="shared" si="2"/>
        <v>254.33333333333334</v>
      </c>
      <c r="P22" s="5">
        <v>51</v>
      </c>
      <c r="Q22" s="5">
        <v>54</v>
      </c>
      <c r="R22" s="5">
        <v>60</v>
      </c>
      <c r="S22" s="15">
        <f>SUM(P22:R22)/3</f>
        <v>55</v>
      </c>
      <c r="T22" s="22">
        <f>4 * 60 + 24</f>
        <v>264</v>
      </c>
      <c r="U22" s="22">
        <f>4 * 60 + 22</f>
        <v>262</v>
      </c>
      <c r="V22" s="22">
        <f xml:space="preserve"> 4 * 60 +23</f>
        <v>263</v>
      </c>
      <c r="W22" s="15">
        <f t="shared" si="3"/>
        <v>263</v>
      </c>
      <c r="X22" s="22">
        <f>5 * 60 + 46</f>
        <v>346</v>
      </c>
      <c r="Y22" s="22">
        <f>5*60+14</f>
        <v>314</v>
      </c>
      <c r="Z22" s="22">
        <f>5*60+9</f>
        <v>309</v>
      </c>
      <c r="AA22" s="15">
        <f t="shared" si="4"/>
        <v>323</v>
      </c>
    </row>
    <row r="23" spans="2:27" ht="16" customHeight="1" x14ac:dyDescent="0.2">
      <c r="B23" s="36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>
        <v>470</v>
      </c>
      <c r="Q23" s="8">
        <v>469</v>
      </c>
      <c r="R23" s="8">
        <v>477</v>
      </c>
      <c r="S23" s="15">
        <f t="shared" ref="S23:S25" si="7">SUM(P23:R23)/3</f>
        <v>472</v>
      </c>
      <c r="T23" s="8"/>
      <c r="U23" s="8"/>
      <c r="V23" s="8"/>
      <c r="W23" s="15"/>
      <c r="X23" s="8"/>
      <c r="Y23" s="8"/>
      <c r="Z23" s="8"/>
      <c r="AA23" s="15"/>
    </row>
    <row r="24" spans="2:27" x14ac:dyDescent="0.2">
      <c r="B24" s="38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>
        <v>423</v>
      </c>
      <c r="Q24" s="2">
        <v>425</v>
      </c>
      <c r="R24" s="2">
        <v>436</v>
      </c>
      <c r="S24" s="15">
        <f t="shared" si="7"/>
        <v>428</v>
      </c>
      <c r="T24" s="2"/>
      <c r="U24" s="2"/>
      <c r="V24" s="2"/>
      <c r="W24" s="15"/>
      <c r="X24" s="2"/>
      <c r="Y24" s="2"/>
      <c r="Z24" s="2"/>
      <c r="AA24" s="15"/>
    </row>
    <row r="25" spans="2:27" x14ac:dyDescent="0.2">
      <c r="B25" s="38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>
        <v>420</v>
      </c>
      <c r="Q25" s="2">
        <v>431</v>
      </c>
      <c r="R25" s="2">
        <v>433</v>
      </c>
      <c r="S25" s="15">
        <f t="shared" si="7"/>
        <v>428</v>
      </c>
      <c r="T25" s="2"/>
      <c r="U25" s="2"/>
      <c r="V25" s="2"/>
      <c r="W25" s="15"/>
      <c r="X25" s="2"/>
      <c r="Y25" s="2"/>
      <c r="Z25" s="2"/>
      <c r="AA25" s="15"/>
    </row>
    <row r="26" spans="2:27" x14ac:dyDescent="0.2">
      <c r="B26" s="38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>
        <v>490</v>
      </c>
      <c r="Q26" s="2">
        <v>501</v>
      </c>
      <c r="R26" s="2">
        <v>469</v>
      </c>
      <c r="S26" s="15">
        <f>SUM(P26:R26)/3</f>
        <v>486.66666666666669</v>
      </c>
      <c r="T26" s="2"/>
      <c r="U26" s="2"/>
      <c r="V26" s="2"/>
      <c r="W26" s="15"/>
      <c r="X26" s="2"/>
      <c r="Y26" s="2"/>
      <c r="Z26" s="2"/>
      <c r="AA26" s="15"/>
    </row>
    <row r="27" spans="2:27" x14ac:dyDescent="0.2">
      <c r="B27" s="40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>
        <v>564</v>
      </c>
      <c r="Q27" s="5">
        <v>586</v>
      </c>
      <c r="R27" s="5">
        <v>588</v>
      </c>
      <c r="S27" s="15">
        <f>SUM(P27:R27)/3</f>
        <v>579.33333333333337</v>
      </c>
      <c r="T27" s="5"/>
      <c r="U27" s="5"/>
      <c r="V27" s="5"/>
      <c r="W27" s="15"/>
      <c r="X27" s="5"/>
      <c r="Y27" s="5"/>
      <c r="Z27" s="5"/>
      <c r="AA27" s="15"/>
    </row>
    <row r="28" spans="2:27" ht="16" customHeight="1" x14ac:dyDescent="0.2">
      <c r="B28" s="36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>
        <v>311</v>
      </c>
      <c r="Q28" s="8">
        <v>343</v>
      </c>
      <c r="R28" s="8">
        <v>355</v>
      </c>
      <c r="S28" s="15">
        <f t="shared" ref="S28:S30" si="8">SUM(P28:R28)/3</f>
        <v>336.33333333333331</v>
      </c>
      <c r="T28" s="8"/>
      <c r="U28" s="8"/>
      <c r="V28" s="8"/>
      <c r="W28" s="15"/>
      <c r="X28" s="8"/>
      <c r="Y28" s="8"/>
      <c r="Z28" s="8"/>
      <c r="AA28" s="15"/>
    </row>
    <row r="29" spans="2:27" x14ac:dyDescent="0.2">
      <c r="B29" s="37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8"/>
        <v>0</v>
      </c>
      <c r="T29" s="2"/>
      <c r="U29" s="2"/>
      <c r="V29" s="2"/>
      <c r="W29" s="15"/>
      <c r="X29" s="2"/>
      <c r="Y29" s="2"/>
      <c r="Z29" s="2"/>
      <c r="AA29" s="15"/>
    </row>
    <row r="30" spans="2:27" x14ac:dyDescent="0.2">
      <c r="B30" s="37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8"/>
        <v>0</v>
      </c>
      <c r="T30" s="2"/>
      <c r="U30" s="2"/>
      <c r="V30" s="2"/>
      <c r="W30" s="15"/>
      <c r="X30" s="2"/>
      <c r="Y30" s="2"/>
      <c r="Z30" s="2"/>
      <c r="AA30" s="15"/>
    </row>
    <row r="31" spans="2:27" x14ac:dyDescent="0.2">
      <c r="B31" s="37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  <c r="T31" s="2"/>
      <c r="U31" s="2"/>
      <c r="V31" s="2"/>
      <c r="W31" s="15"/>
      <c r="X31" s="2"/>
      <c r="Y31" s="2"/>
      <c r="Z31" s="2"/>
      <c r="AA31" s="15"/>
    </row>
    <row r="32" spans="2:27" x14ac:dyDescent="0.2">
      <c r="B32" s="39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  <c r="T32" s="5"/>
      <c r="U32" s="5"/>
      <c r="V32" s="5"/>
      <c r="W32" s="17"/>
      <c r="X32" s="5"/>
      <c r="Y32" s="5"/>
      <c r="Z32" s="5"/>
      <c r="AA32" s="17"/>
    </row>
    <row r="33" spans="1:30" x14ac:dyDescent="0.2">
      <c r="L33" s="34" t="s">
        <v>31</v>
      </c>
      <c r="M33" s="34"/>
      <c r="N33" s="34"/>
      <c r="O33" s="34"/>
      <c r="T33" s="34" t="s">
        <v>31</v>
      </c>
      <c r="U33" s="34"/>
      <c r="V33" s="34"/>
      <c r="W33" s="34"/>
      <c r="X33" s="34" t="s">
        <v>31</v>
      </c>
      <c r="Y33" s="34"/>
      <c r="Z33" s="34"/>
      <c r="AA33" s="34"/>
    </row>
    <row r="34" spans="1:30" x14ac:dyDescent="0.2">
      <c r="A34" s="12"/>
      <c r="B34" s="44" t="s">
        <v>22</v>
      </c>
      <c r="C34" s="44"/>
      <c r="D34" s="43" t="s">
        <v>14</v>
      </c>
      <c r="E34" s="43"/>
      <c r="F34" s="43"/>
      <c r="G34" s="43"/>
      <c r="H34" s="43" t="s">
        <v>29</v>
      </c>
      <c r="I34" s="43"/>
      <c r="J34" s="43"/>
      <c r="K34" s="43"/>
      <c r="L34" s="43" t="s">
        <v>13</v>
      </c>
      <c r="M34" s="43"/>
      <c r="N34" s="43"/>
      <c r="O34" s="43"/>
      <c r="P34" s="35" t="s">
        <v>24</v>
      </c>
      <c r="Q34" s="35"/>
      <c r="R34" s="35"/>
      <c r="S34" s="35"/>
      <c r="T34" s="43" t="s">
        <v>27</v>
      </c>
      <c r="U34" s="43"/>
      <c r="V34" s="43"/>
      <c r="W34" s="43"/>
      <c r="X34" s="43" t="s">
        <v>28</v>
      </c>
      <c r="Y34" s="43"/>
      <c r="Z34" s="43"/>
      <c r="AA34" s="43"/>
    </row>
    <row r="35" spans="1:30" x14ac:dyDescent="0.2">
      <c r="A35" s="12"/>
      <c r="B35" s="45"/>
      <c r="C35" s="45"/>
      <c r="D35" s="24" t="s">
        <v>0</v>
      </c>
      <c r="E35" s="24" t="s">
        <v>1</v>
      </c>
      <c r="F35" s="24" t="s">
        <v>2</v>
      </c>
      <c r="G35" s="25" t="s">
        <v>12</v>
      </c>
      <c r="H35" s="24" t="s">
        <v>0</v>
      </c>
      <c r="I35" s="24" t="s">
        <v>1</v>
      </c>
      <c r="J35" s="24" t="s">
        <v>2</v>
      </c>
      <c r="K35" s="25" t="s">
        <v>12</v>
      </c>
      <c r="L35" s="24" t="s">
        <v>0</v>
      </c>
      <c r="M35" s="24" t="s">
        <v>1</v>
      </c>
      <c r="N35" s="24" t="s">
        <v>2</v>
      </c>
      <c r="O35" s="25" t="s">
        <v>12</v>
      </c>
      <c r="P35" s="24" t="s">
        <v>0</v>
      </c>
      <c r="Q35" s="24" t="s">
        <v>1</v>
      </c>
      <c r="R35" s="24" t="s">
        <v>2</v>
      </c>
      <c r="S35" s="25" t="s">
        <v>12</v>
      </c>
      <c r="T35" s="24" t="s">
        <v>0</v>
      </c>
      <c r="U35" s="24" t="s">
        <v>1</v>
      </c>
      <c r="V35" s="24" t="s">
        <v>2</v>
      </c>
      <c r="W35" s="25" t="s">
        <v>12</v>
      </c>
      <c r="X35" s="24" t="s">
        <v>0</v>
      </c>
      <c r="Y35" s="24" t="s">
        <v>1</v>
      </c>
      <c r="Z35" s="24" t="s">
        <v>2</v>
      </c>
      <c r="AA35" s="25" t="s">
        <v>12</v>
      </c>
    </row>
    <row r="36" spans="1:30" ht="16" customHeight="1" x14ac:dyDescent="0.2">
      <c r="A36" s="12"/>
      <c r="B36" s="46" t="s">
        <v>26</v>
      </c>
      <c r="C36" s="26">
        <v>20</v>
      </c>
      <c r="D36" s="27"/>
      <c r="E36" s="27"/>
      <c r="F36" s="27"/>
      <c r="G36" s="28"/>
      <c r="H36" s="27"/>
      <c r="I36" s="27"/>
      <c r="J36" s="27"/>
      <c r="K36" s="28"/>
      <c r="L36" s="27">
        <f>13 * 60 + 22</f>
        <v>802</v>
      </c>
      <c r="M36" s="27">
        <f>13 * 60 + 24</f>
        <v>804</v>
      </c>
      <c r="N36" s="27">
        <f>13 * 60 + 24</f>
        <v>804</v>
      </c>
      <c r="O36" s="29">
        <v>806.67</v>
      </c>
      <c r="P36" s="27"/>
      <c r="Q36" s="27"/>
      <c r="R36" s="27"/>
      <c r="S36" s="29"/>
      <c r="T36" s="27">
        <v>768</v>
      </c>
      <c r="U36" s="27">
        <v>767</v>
      </c>
      <c r="V36" s="27">
        <v>768</v>
      </c>
      <c r="W36" s="29">
        <v>767.67</v>
      </c>
      <c r="X36" s="27">
        <f>14 * 60 + 33</f>
        <v>873</v>
      </c>
      <c r="Y36" s="27">
        <f>14*60 + 30</f>
        <v>870</v>
      </c>
      <c r="Z36" s="27">
        <f>14 * 60 +33</f>
        <v>873</v>
      </c>
      <c r="AA36" s="15">
        <f xml:space="preserve"> AVERAGE(X36,Y36,Z36)</f>
        <v>872</v>
      </c>
    </row>
    <row r="37" spans="1:30" x14ac:dyDescent="0.2">
      <c r="A37" s="12"/>
      <c r="B37" s="47"/>
      <c r="C37" s="26">
        <v>40</v>
      </c>
      <c r="D37" s="27"/>
      <c r="E37" s="27"/>
      <c r="F37" s="27"/>
      <c r="G37" s="28"/>
      <c r="H37" s="27"/>
      <c r="I37" s="27"/>
      <c r="J37" s="27"/>
      <c r="K37" s="28"/>
      <c r="L37" s="27">
        <v>792</v>
      </c>
      <c r="M37" s="27">
        <v>793</v>
      </c>
      <c r="N37" s="27">
        <v>792</v>
      </c>
      <c r="O37" s="29">
        <v>792.33</v>
      </c>
      <c r="P37" s="27"/>
      <c r="Q37" s="27"/>
      <c r="R37" s="27"/>
      <c r="S37" s="29"/>
      <c r="T37" s="27">
        <v>768</v>
      </c>
      <c r="U37" s="27">
        <v>768</v>
      </c>
      <c r="V37" s="27">
        <v>768</v>
      </c>
      <c r="W37" s="29">
        <v>768</v>
      </c>
      <c r="X37" s="27">
        <f>13 * 60 + 45</f>
        <v>825</v>
      </c>
      <c r="Y37" s="27">
        <f>13 * 60 + 48</f>
        <v>828</v>
      </c>
      <c r="Z37" s="27">
        <f>13 * 60 + 48</f>
        <v>828</v>
      </c>
      <c r="AA37" s="15">
        <f t="shared" ref="AA37:AA50" si="9" xml:space="preserve"> AVERAGE(X37,Y37,Z37)</f>
        <v>827</v>
      </c>
    </row>
    <row r="38" spans="1:30" ht="16" customHeight="1" x14ac:dyDescent="0.2">
      <c r="A38" s="12"/>
      <c r="B38" s="47"/>
      <c r="C38" s="26">
        <v>80</v>
      </c>
      <c r="D38" s="27"/>
      <c r="E38" s="27"/>
      <c r="F38" s="27"/>
      <c r="G38" s="28"/>
      <c r="H38" s="27"/>
      <c r="I38" s="27"/>
      <c r="J38" s="27"/>
      <c r="K38" s="28"/>
      <c r="L38" s="27">
        <v>786</v>
      </c>
      <c r="M38" s="27">
        <v>785</v>
      </c>
      <c r="N38" s="27">
        <v>783</v>
      </c>
      <c r="O38" s="29">
        <v>784.67</v>
      </c>
      <c r="P38" s="27"/>
      <c r="Q38" s="27"/>
      <c r="R38" s="27"/>
      <c r="S38" s="29"/>
      <c r="T38" s="27">
        <v>767</v>
      </c>
      <c r="U38" s="27">
        <v>767</v>
      </c>
      <c r="V38" s="27">
        <v>768</v>
      </c>
      <c r="W38" s="29">
        <v>767.33</v>
      </c>
      <c r="X38" s="27">
        <f>13 * 60 + 36</f>
        <v>816</v>
      </c>
      <c r="Y38" s="27">
        <f>13 * 60 + 33</f>
        <v>813</v>
      </c>
      <c r="Z38" s="27">
        <f>13 * 60 + 33</f>
        <v>813</v>
      </c>
      <c r="AA38" s="15">
        <f t="shared" si="9"/>
        <v>814</v>
      </c>
    </row>
    <row r="39" spans="1:30" x14ac:dyDescent="0.2">
      <c r="A39" s="12"/>
      <c r="B39" s="47"/>
      <c r="C39" s="26">
        <v>160</v>
      </c>
      <c r="D39" s="27"/>
      <c r="E39" s="27"/>
      <c r="F39" s="27"/>
      <c r="G39" s="28"/>
      <c r="H39" s="27"/>
      <c r="I39" s="27"/>
      <c r="J39" s="27"/>
      <c r="K39" s="28"/>
      <c r="L39" s="27">
        <v>782</v>
      </c>
      <c r="M39" s="27">
        <v>780</v>
      </c>
      <c r="N39" s="27">
        <v>786</v>
      </c>
      <c r="O39" s="29">
        <v>782.67</v>
      </c>
      <c r="P39" s="27"/>
      <c r="Q39" s="27"/>
      <c r="R39" s="27"/>
      <c r="S39" s="29"/>
      <c r="T39" s="27">
        <v>768</v>
      </c>
      <c r="U39" s="27">
        <v>768</v>
      </c>
      <c r="V39" s="27">
        <v>768</v>
      </c>
      <c r="W39" s="29">
        <v>768</v>
      </c>
      <c r="X39" s="27">
        <f>13 * 60 + 18</f>
        <v>798</v>
      </c>
      <c r="Y39" s="27">
        <f>13 * 60 + 18</f>
        <v>798</v>
      </c>
      <c r="Z39" s="27">
        <f>13 * 60 + 18</f>
        <v>798</v>
      </c>
      <c r="AA39" s="15">
        <f t="shared" si="9"/>
        <v>798</v>
      </c>
    </row>
    <row r="40" spans="1:30" x14ac:dyDescent="0.2">
      <c r="A40" s="12"/>
      <c r="B40" s="48"/>
      <c r="C40" s="30">
        <v>320</v>
      </c>
      <c r="D40" s="27"/>
      <c r="E40" s="27"/>
      <c r="F40" s="27"/>
      <c r="G40" s="28"/>
      <c r="H40" s="27"/>
      <c r="I40" s="27"/>
      <c r="J40" s="27"/>
      <c r="K40" s="28"/>
      <c r="L40" s="27">
        <v>780</v>
      </c>
      <c r="M40" s="27">
        <v>780</v>
      </c>
      <c r="N40" s="27">
        <v>780</v>
      </c>
      <c r="O40" s="29">
        <v>780</v>
      </c>
      <c r="P40" s="27"/>
      <c r="Q40" s="27"/>
      <c r="R40" s="27"/>
      <c r="S40" s="29"/>
      <c r="T40" s="27">
        <v>768</v>
      </c>
      <c r="U40" s="27">
        <v>768</v>
      </c>
      <c r="V40" s="27">
        <v>767</v>
      </c>
      <c r="W40" s="29">
        <v>767.67</v>
      </c>
      <c r="X40" s="27">
        <f>13 * 60 + 18</f>
        <v>798</v>
      </c>
      <c r="Y40" s="27">
        <f>13 * 60 + 29</f>
        <v>809</v>
      </c>
      <c r="Z40" s="27">
        <f>13 * 60 + 24</f>
        <v>804</v>
      </c>
      <c r="AA40" s="15">
        <f t="shared" si="9"/>
        <v>803.66666666666663</v>
      </c>
    </row>
    <row r="41" spans="1:30" ht="16" customHeight="1" x14ac:dyDescent="0.2">
      <c r="A41" s="12"/>
      <c r="B41" s="49" t="s">
        <v>9</v>
      </c>
      <c r="C41" s="26">
        <v>20</v>
      </c>
      <c r="D41" s="31"/>
      <c r="E41" s="31"/>
      <c r="F41" s="31"/>
      <c r="G41" s="32"/>
      <c r="H41" s="31"/>
      <c r="I41" s="31"/>
      <c r="J41" s="31"/>
      <c r="K41" s="32"/>
      <c r="L41" s="31">
        <v>637</v>
      </c>
      <c r="M41" s="31">
        <v>609</v>
      </c>
      <c r="N41" s="31">
        <v>610</v>
      </c>
      <c r="O41" s="29">
        <v>618.66999999999996</v>
      </c>
      <c r="P41" s="31"/>
      <c r="Q41" s="31"/>
      <c r="R41" s="31"/>
      <c r="S41" s="29"/>
      <c r="T41" s="31">
        <v>597</v>
      </c>
      <c r="U41" s="31">
        <v>597</v>
      </c>
      <c r="V41" s="31">
        <v>594</v>
      </c>
      <c r="W41" s="29">
        <v>596</v>
      </c>
      <c r="X41" s="31">
        <v>629</v>
      </c>
      <c r="Y41" s="31">
        <v>666</v>
      </c>
      <c r="Z41" s="31">
        <v>688</v>
      </c>
      <c r="AA41" s="15">
        <f t="shared" si="9"/>
        <v>661</v>
      </c>
      <c r="AB41" s="33"/>
      <c r="AC41" s="33"/>
      <c r="AD41" s="33"/>
    </row>
    <row r="42" spans="1:30" x14ac:dyDescent="0.2">
      <c r="A42" s="12"/>
      <c r="B42" s="50"/>
      <c r="C42" s="26">
        <v>40</v>
      </c>
      <c r="D42" s="27"/>
      <c r="E42" s="27"/>
      <c r="F42" s="27"/>
      <c r="G42" s="28"/>
      <c r="H42" s="27"/>
      <c r="I42" s="27"/>
      <c r="J42" s="27"/>
      <c r="K42" s="28"/>
      <c r="L42" s="27">
        <v>619</v>
      </c>
      <c r="M42" s="27">
        <v>602</v>
      </c>
      <c r="N42" s="27">
        <v>607</v>
      </c>
      <c r="O42" s="29">
        <v>609.33000000000004</v>
      </c>
      <c r="P42" s="27"/>
      <c r="Q42" s="27"/>
      <c r="R42" s="27"/>
      <c r="S42" s="29"/>
      <c r="T42" s="27">
        <v>597</v>
      </c>
      <c r="U42" s="27">
        <v>605</v>
      </c>
      <c r="V42" s="27">
        <v>596</v>
      </c>
      <c r="W42" s="29">
        <v>599.33000000000004</v>
      </c>
      <c r="X42" s="27">
        <v>640</v>
      </c>
      <c r="Y42" s="27">
        <v>636</v>
      </c>
      <c r="Z42" s="27">
        <v>640</v>
      </c>
      <c r="AA42" s="15">
        <f t="shared" si="9"/>
        <v>638.66666666666663</v>
      </c>
    </row>
    <row r="43" spans="1:30" x14ac:dyDescent="0.2">
      <c r="A43" s="12"/>
      <c r="B43" s="50"/>
      <c r="C43" s="26">
        <v>80</v>
      </c>
      <c r="D43" s="27"/>
      <c r="E43" s="27"/>
      <c r="F43" s="27"/>
      <c r="G43" s="28"/>
      <c r="H43" s="27"/>
      <c r="I43" s="27"/>
      <c r="J43" s="27"/>
      <c r="K43" s="28"/>
      <c r="L43" s="27">
        <v>605</v>
      </c>
      <c r="M43" s="27">
        <v>609</v>
      </c>
      <c r="N43" s="27">
        <v>641</v>
      </c>
      <c r="O43" s="29">
        <v>618.33000000000004</v>
      </c>
      <c r="P43" s="27"/>
      <c r="Q43" s="27"/>
      <c r="R43" s="27"/>
      <c r="S43" s="29"/>
      <c r="T43" s="27">
        <v>596</v>
      </c>
      <c r="U43" s="27">
        <v>595</v>
      </c>
      <c r="V43" s="27">
        <v>611</v>
      </c>
      <c r="W43" s="29">
        <v>600.66999999999996</v>
      </c>
      <c r="X43" s="27">
        <f>10 * 60 + 33</f>
        <v>633</v>
      </c>
      <c r="Y43" s="27">
        <f>10 * 60 + 29</f>
        <v>629</v>
      </c>
      <c r="Z43" s="27">
        <f>10 * 60 + 34</f>
        <v>634</v>
      </c>
      <c r="AA43" s="15">
        <f t="shared" si="9"/>
        <v>632</v>
      </c>
    </row>
    <row r="44" spans="1:30" x14ac:dyDescent="0.2">
      <c r="A44" s="12" t="s">
        <v>30</v>
      </c>
      <c r="B44" s="50"/>
      <c r="C44" s="26">
        <v>160</v>
      </c>
      <c r="D44" s="27"/>
      <c r="E44" s="27"/>
      <c r="F44" s="27"/>
      <c r="G44" s="28"/>
      <c r="H44" s="27"/>
      <c r="I44" s="27"/>
      <c r="J44" s="27"/>
      <c r="K44" s="28"/>
      <c r="L44" s="27">
        <v>614</v>
      </c>
      <c r="M44" s="27">
        <v>614</v>
      </c>
      <c r="N44" s="27">
        <v>613</v>
      </c>
      <c r="O44" s="29">
        <v>613.66999999999996</v>
      </c>
      <c r="P44" s="27"/>
      <c r="Q44" s="27"/>
      <c r="R44" s="27"/>
      <c r="S44" s="29"/>
      <c r="T44" s="27">
        <v>604</v>
      </c>
      <c r="U44" s="27">
        <v>597</v>
      </c>
      <c r="V44" s="27">
        <v>597</v>
      </c>
      <c r="W44" s="29">
        <v>599.33000000000004</v>
      </c>
      <c r="X44" s="27">
        <f>10*60 +30</f>
        <v>630</v>
      </c>
      <c r="Y44" s="27">
        <f>10 * 60 + 30</f>
        <v>630</v>
      </c>
      <c r="Z44" s="27">
        <f>10 * 60 + 29</f>
        <v>629</v>
      </c>
      <c r="AA44" s="15">
        <f t="shared" si="9"/>
        <v>629.66666666666663</v>
      </c>
    </row>
    <row r="45" spans="1:30" x14ac:dyDescent="0.2">
      <c r="A45" s="12"/>
      <c r="B45" s="48"/>
      <c r="C45" s="30">
        <v>320</v>
      </c>
      <c r="D45" s="27"/>
      <c r="E45" s="27"/>
      <c r="F45" s="27"/>
      <c r="G45" s="28"/>
      <c r="H45" s="27"/>
      <c r="I45" s="27"/>
      <c r="J45" s="27"/>
      <c r="K45" s="28"/>
      <c r="L45" s="27">
        <v>533</v>
      </c>
      <c r="M45" s="27">
        <v>540</v>
      </c>
      <c r="N45" s="27">
        <v>547</v>
      </c>
      <c r="O45" s="29">
        <v>540</v>
      </c>
      <c r="P45" s="27"/>
      <c r="Q45" s="27"/>
      <c r="R45" s="27"/>
      <c r="S45" s="29"/>
      <c r="T45" s="27">
        <v>597</v>
      </c>
      <c r="U45" s="27">
        <v>597</v>
      </c>
      <c r="V45" s="27">
        <v>596</v>
      </c>
      <c r="W45" s="29">
        <v>596.66999999999996</v>
      </c>
      <c r="X45" s="27">
        <f>10 * 60 + 29</f>
        <v>629</v>
      </c>
      <c r="Y45" s="27">
        <f xml:space="preserve"> 10 * 60 + 29</f>
        <v>629</v>
      </c>
      <c r="Z45" s="27">
        <f>10 * 60 + 31</f>
        <v>631</v>
      </c>
      <c r="AA45" s="15">
        <f t="shared" si="9"/>
        <v>629.66666666666663</v>
      </c>
    </row>
    <row r="46" spans="1:30" ht="16" customHeight="1" x14ac:dyDescent="0.2">
      <c r="A46" s="12"/>
      <c r="B46" s="49" t="s">
        <v>10</v>
      </c>
      <c r="C46" s="26">
        <v>20</v>
      </c>
      <c r="D46" s="31"/>
      <c r="E46" s="31"/>
      <c r="F46" s="31"/>
      <c r="G46" s="32"/>
      <c r="H46" s="31"/>
      <c r="I46" s="31"/>
      <c r="J46" s="31"/>
      <c r="K46" s="32"/>
      <c r="L46" s="31">
        <v>615</v>
      </c>
      <c r="M46" s="31">
        <v>612</v>
      </c>
      <c r="N46" s="31">
        <v>614</v>
      </c>
      <c r="O46" s="29">
        <v>613.66999999999996</v>
      </c>
      <c r="P46" s="31"/>
      <c r="Q46" s="31"/>
      <c r="R46" s="31"/>
      <c r="S46" s="29"/>
      <c r="T46" s="31">
        <v>596</v>
      </c>
      <c r="U46" s="31">
        <v>595</v>
      </c>
      <c r="V46" s="31">
        <v>596</v>
      </c>
      <c r="W46" s="29">
        <v>595.66999999999996</v>
      </c>
      <c r="X46" s="31">
        <f>10 * 60 + 36</f>
        <v>636</v>
      </c>
      <c r="Y46" s="31">
        <f>10*60+32</f>
        <v>632</v>
      </c>
      <c r="Z46" s="31">
        <f>10 * 60 +33</f>
        <v>633</v>
      </c>
      <c r="AA46" s="15">
        <f t="shared" si="9"/>
        <v>633.66666666666663</v>
      </c>
    </row>
    <row r="47" spans="1:30" x14ac:dyDescent="0.2">
      <c r="A47" s="12"/>
      <c r="B47" s="50"/>
      <c r="C47" s="26">
        <v>40</v>
      </c>
      <c r="D47" s="27"/>
      <c r="E47" s="27"/>
      <c r="F47" s="27"/>
      <c r="G47" s="28"/>
      <c r="H47" s="27"/>
      <c r="I47" s="27"/>
      <c r="J47" s="27"/>
      <c r="K47" s="28"/>
      <c r="L47" s="27">
        <v>609</v>
      </c>
      <c r="M47" s="27">
        <v>616</v>
      </c>
      <c r="N47" s="27">
        <v>612</v>
      </c>
      <c r="O47" s="29">
        <v>612.33000000000004</v>
      </c>
      <c r="P47" s="27"/>
      <c r="Q47" s="27"/>
      <c r="R47" s="27"/>
      <c r="S47" s="29"/>
      <c r="T47" s="27">
        <v>595</v>
      </c>
      <c r="U47" s="27">
        <v>595</v>
      </c>
      <c r="V47" s="27">
        <v>595</v>
      </c>
      <c r="W47" s="29">
        <v>595</v>
      </c>
      <c r="X47" s="27">
        <f>10 * 60 + 44</f>
        <v>644</v>
      </c>
      <c r="Y47" s="27">
        <f>10 * 60 + 42</f>
        <v>642</v>
      </c>
      <c r="Z47" s="27">
        <f>10 * 60 + 37</f>
        <v>637</v>
      </c>
      <c r="AA47" s="15">
        <f t="shared" si="9"/>
        <v>641</v>
      </c>
    </row>
    <row r="48" spans="1:30" x14ac:dyDescent="0.2">
      <c r="A48" s="12"/>
      <c r="B48" s="50"/>
      <c r="C48" s="26">
        <v>80</v>
      </c>
      <c r="D48" s="27"/>
      <c r="E48" s="27"/>
      <c r="F48" s="27"/>
      <c r="G48" s="28"/>
      <c r="H48" s="27"/>
      <c r="I48" s="27"/>
      <c r="J48" s="27"/>
      <c r="K48" s="28"/>
      <c r="L48" s="27">
        <v>613</v>
      </c>
      <c r="M48" s="27">
        <v>615</v>
      </c>
      <c r="N48" s="27">
        <v>613</v>
      </c>
      <c r="O48" s="29">
        <v>613.66999999999996</v>
      </c>
      <c r="P48" s="27"/>
      <c r="Q48" s="27"/>
      <c r="R48" s="27"/>
      <c r="S48" s="29"/>
      <c r="T48" s="27">
        <v>596</v>
      </c>
      <c r="U48" s="27">
        <v>595</v>
      </c>
      <c r="V48" s="27">
        <v>595</v>
      </c>
      <c r="W48" s="29">
        <v>595.33000000000004</v>
      </c>
      <c r="X48" s="27">
        <f>10 * 60 + 32</f>
        <v>632</v>
      </c>
      <c r="Y48" s="27">
        <f>10 * 60 + 31</f>
        <v>631</v>
      </c>
      <c r="Z48" s="27">
        <f>10 * 60 + 44</f>
        <v>644</v>
      </c>
      <c r="AA48" s="15">
        <f t="shared" si="9"/>
        <v>635.66666666666663</v>
      </c>
    </row>
    <row r="49" spans="1:27" x14ac:dyDescent="0.2">
      <c r="A49" s="12"/>
      <c r="B49" s="50"/>
      <c r="C49" s="26">
        <v>160</v>
      </c>
      <c r="D49" s="27"/>
      <c r="E49" s="27"/>
      <c r="F49" s="27"/>
      <c r="G49" s="28"/>
      <c r="H49" s="27"/>
      <c r="I49" s="27"/>
      <c r="J49" s="27"/>
      <c r="K49" s="28"/>
      <c r="L49" s="27">
        <v>614</v>
      </c>
      <c r="M49" s="27">
        <v>611</v>
      </c>
      <c r="N49" s="27">
        <v>614</v>
      </c>
      <c r="O49" s="29">
        <v>613</v>
      </c>
      <c r="P49" s="27"/>
      <c r="Q49" s="27"/>
      <c r="R49" s="27"/>
      <c r="S49" s="29"/>
      <c r="T49" s="27">
        <v>601</v>
      </c>
      <c r="U49" s="27">
        <v>596</v>
      </c>
      <c r="V49" s="27">
        <v>597</v>
      </c>
      <c r="W49" s="29">
        <v>598</v>
      </c>
      <c r="X49" s="27">
        <f>10 * 60 + 29</f>
        <v>629</v>
      </c>
      <c r="Y49" s="27">
        <f>10 * 60 + 29</f>
        <v>629</v>
      </c>
      <c r="Z49" s="27">
        <f>10 * 60 + 30</f>
        <v>630</v>
      </c>
      <c r="AA49" s="15">
        <f t="shared" si="9"/>
        <v>629.33333333333337</v>
      </c>
    </row>
    <row r="50" spans="1:27" x14ac:dyDescent="0.2">
      <c r="A50" s="12"/>
      <c r="B50" s="48"/>
      <c r="C50" s="30">
        <v>320</v>
      </c>
      <c r="D50" s="27"/>
      <c r="E50" s="27"/>
      <c r="F50" s="27"/>
      <c r="G50" s="28"/>
      <c r="H50" s="27"/>
      <c r="I50" s="27"/>
      <c r="J50" s="27"/>
      <c r="K50" s="28"/>
      <c r="L50" s="27">
        <v>534</v>
      </c>
      <c r="M50" s="27">
        <v>551</v>
      </c>
      <c r="N50" s="27">
        <v>543</v>
      </c>
      <c r="O50" s="28">
        <v>542.66999999999996</v>
      </c>
      <c r="P50" s="27"/>
      <c r="Q50" s="27"/>
      <c r="R50" s="27"/>
      <c r="S50" s="28"/>
      <c r="T50" s="27">
        <v>597</v>
      </c>
      <c r="U50" s="27">
        <v>595</v>
      </c>
      <c r="V50" s="27">
        <v>606</v>
      </c>
      <c r="W50" s="28">
        <v>599.33000000000004</v>
      </c>
      <c r="X50" s="27">
        <f xml:space="preserve"> 10*60+29</f>
        <v>629</v>
      </c>
      <c r="Y50" s="27">
        <f>10 * 60 + 29</f>
        <v>629</v>
      </c>
      <c r="Z50" s="27">
        <f>10 * 60 + 29</f>
        <v>629</v>
      </c>
      <c r="AA50" s="15">
        <f t="shared" si="9"/>
        <v>629</v>
      </c>
    </row>
    <row r="51" spans="1:27" x14ac:dyDescent="0.2">
      <c r="B51" s="36" t="s">
        <v>8</v>
      </c>
      <c r="C51" s="26">
        <v>20</v>
      </c>
      <c r="D51" s="8"/>
      <c r="E51" s="8"/>
      <c r="F51" s="8"/>
      <c r="G51" s="9"/>
      <c r="H51" s="8"/>
      <c r="I51" s="8"/>
      <c r="J51" s="8"/>
      <c r="K51" s="9"/>
      <c r="L51" s="8"/>
      <c r="M51" s="8"/>
      <c r="N51" s="8"/>
      <c r="O51" s="9"/>
      <c r="P51" s="8"/>
      <c r="Q51" s="8"/>
      <c r="R51" s="8"/>
      <c r="S51" s="9"/>
      <c r="T51" s="8"/>
      <c r="U51" s="8"/>
      <c r="V51" s="8"/>
      <c r="W51" s="9"/>
      <c r="X51" s="8"/>
      <c r="Y51" s="8"/>
      <c r="Z51" s="8"/>
      <c r="AA51" s="9"/>
    </row>
    <row r="52" spans="1:27" x14ac:dyDescent="0.2">
      <c r="B52" s="37"/>
      <c r="C52" s="26">
        <v>40</v>
      </c>
      <c r="D52" s="2"/>
      <c r="E52" s="2"/>
      <c r="F52" s="2"/>
      <c r="G52" s="3"/>
      <c r="H52" s="2"/>
      <c r="I52" s="2"/>
      <c r="J52" s="2"/>
      <c r="K52" s="3"/>
      <c r="L52" s="2"/>
      <c r="M52" s="2"/>
      <c r="N52" s="2"/>
      <c r="O52" s="3"/>
      <c r="P52" s="2"/>
      <c r="Q52" s="2"/>
      <c r="R52" s="2"/>
      <c r="S52" s="3"/>
      <c r="T52" s="2"/>
      <c r="U52" s="2"/>
      <c r="V52" s="2"/>
      <c r="W52" s="3"/>
      <c r="X52" s="2"/>
      <c r="Y52" s="2"/>
      <c r="Z52" s="2"/>
      <c r="AA52" s="3"/>
    </row>
    <row r="53" spans="1:27" x14ac:dyDescent="0.2">
      <c r="B53" s="37"/>
      <c r="C53" s="26">
        <v>80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  <c r="T53" s="2"/>
      <c r="U53" s="2"/>
      <c r="V53" s="2"/>
      <c r="W53" s="3"/>
      <c r="X53" s="2"/>
      <c r="Y53" s="2"/>
      <c r="Z53" s="2"/>
      <c r="AA53" s="3"/>
    </row>
    <row r="54" spans="1:27" x14ac:dyDescent="0.2">
      <c r="B54" s="38"/>
      <c r="C54" s="26">
        <v>160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  <c r="T54" s="2"/>
      <c r="U54" s="2"/>
      <c r="V54" s="2"/>
      <c r="W54" s="3"/>
      <c r="X54" s="2"/>
      <c r="Y54" s="2"/>
      <c r="Z54" s="2"/>
      <c r="AA54" s="3"/>
    </row>
    <row r="55" spans="1:27" x14ac:dyDescent="0.2">
      <c r="B55" s="38"/>
      <c r="C55" s="30">
        <v>320</v>
      </c>
      <c r="D55" s="2"/>
      <c r="E55" s="2"/>
      <c r="F55" s="2"/>
      <c r="G55" s="3"/>
      <c r="H55" s="2"/>
      <c r="I55" s="2"/>
      <c r="J55" s="2"/>
      <c r="K55" s="3"/>
      <c r="L55" s="2"/>
      <c r="M55" s="2"/>
      <c r="N55" s="2"/>
      <c r="O55" s="3"/>
      <c r="P55" s="2"/>
      <c r="Q55" s="2"/>
      <c r="R55" s="2"/>
      <c r="S55" s="3"/>
      <c r="T55" s="2"/>
      <c r="U55" s="2"/>
      <c r="V55" s="2"/>
      <c r="W55" s="3"/>
      <c r="X55" s="2"/>
      <c r="Y55" s="2"/>
      <c r="Z55" s="2"/>
      <c r="AA55" s="3"/>
    </row>
    <row r="56" spans="1:27" x14ac:dyDescent="0.2">
      <c r="B56" s="36" t="s">
        <v>11</v>
      </c>
      <c r="C56" s="26">
        <v>20</v>
      </c>
      <c r="D56" s="8"/>
      <c r="E56" s="8"/>
      <c r="F56" s="8"/>
      <c r="G56" s="9"/>
      <c r="H56" s="8"/>
      <c r="I56" s="8"/>
      <c r="J56" s="8"/>
      <c r="K56" s="9"/>
      <c r="L56" s="8"/>
      <c r="M56" s="8"/>
      <c r="N56" s="8"/>
      <c r="O56" s="9"/>
      <c r="P56" s="8"/>
      <c r="Q56" s="8"/>
      <c r="R56" s="8"/>
      <c r="S56" s="9"/>
      <c r="T56" s="8"/>
      <c r="U56" s="8"/>
      <c r="V56" s="8"/>
      <c r="W56" s="9"/>
      <c r="X56" s="8"/>
      <c r="Y56" s="8"/>
      <c r="Z56" s="8"/>
      <c r="AA56" s="9"/>
    </row>
    <row r="57" spans="1:27" x14ac:dyDescent="0.2">
      <c r="B57" s="37"/>
      <c r="C57" s="26">
        <v>40</v>
      </c>
      <c r="D57" s="2"/>
      <c r="E57" s="2"/>
      <c r="F57" s="2"/>
      <c r="G57" s="3"/>
      <c r="H57" s="2"/>
      <c r="I57" s="2"/>
      <c r="J57" s="2"/>
      <c r="K57" s="3"/>
      <c r="L57" s="2"/>
      <c r="M57" s="2"/>
      <c r="N57" s="2"/>
      <c r="O57" s="3"/>
      <c r="P57" s="2"/>
      <c r="Q57" s="2"/>
      <c r="R57" s="2"/>
      <c r="S57" s="3"/>
      <c r="T57" s="2"/>
      <c r="U57" s="2"/>
      <c r="V57" s="2"/>
      <c r="W57" s="3"/>
      <c r="X57" s="2"/>
      <c r="Y57" s="2"/>
      <c r="Z57" s="2"/>
      <c r="AA57" s="3"/>
    </row>
    <row r="58" spans="1:27" x14ac:dyDescent="0.2">
      <c r="B58" s="37"/>
      <c r="C58" s="26">
        <v>80</v>
      </c>
      <c r="D58" s="2"/>
      <c r="E58" s="2"/>
      <c r="F58" s="2"/>
      <c r="G58" s="3"/>
      <c r="H58" s="2"/>
      <c r="I58" s="2"/>
      <c r="J58" s="2"/>
      <c r="K58" s="3"/>
      <c r="L58" s="2"/>
      <c r="M58" s="2"/>
      <c r="N58" s="2"/>
      <c r="O58" s="3"/>
      <c r="P58" s="2"/>
      <c r="Q58" s="2"/>
      <c r="R58" s="2"/>
      <c r="S58" s="3"/>
      <c r="T58" s="2"/>
      <c r="U58" s="2"/>
      <c r="V58" s="2"/>
      <c r="W58" s="3"/>
      <c r="X58" s="2"/>
      <c r="Y58" s="2"/>
      <c r="Z58" s="2"/>
      <c r="AA58" s="3"/>
    </row>
    <row r="59" spans="1:27" x14ac:dyDescent="0.2">
      <c r="B59" s="37"/>
      <c r="C59" s="26">
        <v>160</v>
      </c>
      <c r="D59" s="2"/>
      <c r="E59" s="2"/>
      <c r="F59" s="2"/>
      <c r="G59" s="3"/>
      <c r="H59" s="2"/>
      <c r="I59" s="2"/>
      <c r="J59" s="2"/>
      <c r="K59" s="3"/>
      <c r="L59" s="2"/>
      <c r="M59" s="2"/>
      <c r="N59" s="2"/>
      <c r="O59" s="3"/>
      <c r="P59" s="2"/>
      <c r="Q59" s="2"/>
      <c r="R59" s="2"/>
      <c r="S59" s="3"/>
      <c r="T59" s="2"/>
      <c r="U59" s="2"/>
      <c r="V59" s="2"/>
      <c r="W59" s="3"/>
      <c r="X59" s="2"/>
      <c r="Y59" s="2"/>
      <c r="Z59" s="2"/>
      <c r="AA59" s="3"/>
    </row>
    <row r="60" spans="1:27" x14ac:dyDescent="0.2">
      <c r="B60" s="39"/>
      <c r="C60" s="30">
        <v>320</v>
      </c>
      <c r="D60" s="5"/>
      <c r="E60" s="5"/>
      <c r="F60" s="5"/>
      <c r="G60" s="6"/>
      <c r="H60" s="5"/>
      <c r="I60" s="5"/>
      <c r="J60" s="5"/>
      <c r="K60" s="6"/>
      <c r="L60" s="5"/>
      <c r="M60" s="5"/>
      <c r="N60" s="5"/>
      <c r="O60" s="6"/>
      <c r="P60" s="5"/>
      <c r="Q60" s="5"/>
      <c r="R60" s="5"/>
      <c r="S60" s="6"/>
      <c r="T60" s="5"/>
      <c r="U60" s="5"/>
      <c r="V60" s="5"/>
      <c r="W60" s="6"/>
      <c r="X60" s="5"/>
      <c r="Y60" s="5"/>
      <c r="Z60" s="5"/>
      <c r="AA60" s="6"/>
    </row>
  </sheetData>
  <mergeCells count="31">
    <mergeCell ref="T34:W34"/>
    <mergeCell ref="X34:AA34"/>
    <mergeCell ref="T6:W6"/>
    <mergeCell ref="X6:AA6"/>
    <mergeCell ref="B56:B60"/>
    <mergeCell ref="P34:S34"/>
    <mergeCell ref="B34:C35"/>
    <mergeCell ref="B36:B40"/>
    <mergeCell ref="B41:B45"/>
    <mergeCell ref="B46:B50"/>
    <mergeCell ref="H34:K34"/>
    <mergeCell ref="L34:O34"/>
    <mergeCell ref="D34:G34"/>
    <mergeCell ref="H6:K6"/>
    <mergeCell ref="L6:O6"/>
    <mergeCell ref="P6:S6"/>
    <mergeCell ref="D6:G6"/>
    <mergeCell ref="B51:B55"/>
    <mergeCell ref="B28:B32"/>
    <mergeCell ref="B13:B17"/>
    <mergeCell ref="B18:B22"/>
    <mergeCell ref="B6:C7"/>
    <mergeCell ref="B8:B12"/>
    <mergeCell ref="B23:B27"/>
    <mergeCell ref="L5:O5"/>
    <mergeCell ref="T5:W5"/>
    <mergeCell ref="T33:W33"/>
    <mergeCell ref="L33:O33"/>
    <mergeCell ref="X33:AA33"/>
    <mergeCell ref="X5:AA5"/>
    <mergeCell ref="P5:S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opLeftCell="A19" zoomScale="107" zoomScaleNormal="107" zoomScalePageLayoutView="107" workbookViewId="0">
      <selection activeCell="D66" sqref="D66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41" t="s">
        <v>21</v>
      </c>
      <c r="C6" s="41"/>
      <c r="D6" s="35" t="s">
        <v>25</v>
      </c>
      <c r="E6" s="35"/>
      <c r="F6" s="35"/>
      <c r="G6" s="35"/>
      <c r="H6" s="35" t="s">
        <v>18</v>
      </c>
      <c r="I6" s="35"/>
      <c r="J6" s="35"/>
      <c r="K6" s="35"/>
      <c r="L6" s="35" t="s">
        <v>19</v>
      </c>
      <c r="M6" s="35"/>
      <c r="N6" s="35"/>
      <c r="O6" s="35"/>
      <c r="P6" s="35" t="s">
        <v>20</v>
      </c>
      <c r="Q6" s="35"/>
      <c r="R6" s="35"/>
      <c r="S6" s="35"/>
    </row>
    <row r="7" spans="2:19" x14ac:dyDescent="0.2">
      <c r="B7" s="42"/>
      <c r="C7" s="42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ht="16" customHeight="1" x14ac:dyDescent="0.2">
      <c r="B8" s="37" t="s">
        <v>26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38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38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38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40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36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38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38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38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40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36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38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38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38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40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36" t="s">
        <v>8</v>
      </c>
      <c r="C23" s="7" t="s">
        <v>3</v>
      </c>
      <c r="D23" s="8">
        <v>459</v>
      </c>
      <c r="E23" s="8">
        <v>460</v>
      </c>
      <c r="F23" s="8">
        <v>469</v>
      </c>
      <c r="G23" s="15">
        <f t="shared" ref="G23:G25" si="3">SUM(D23:F23)/3</f>
        <v>462.66666666666669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38"/>
      <c r="C24" s="1" t="s">
        <v>4</v>
      </c>
      <c r="D24" s="2">
        <v>426</v>
      </c>
      <c r="E24" s="2">
        <v>431</v>
      </c>
      <c r="F24" s="2">
        <v>429</v>
      </c>
      <c r="G24" s="15">
        <f t="shared" si="3"/>
        <v>428.66666666666669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38"/>
      <c r="C25" s="1" t="s">
        <v>5</v>
      </c>
      <c r="D25" s="2">
        <v>480</v>
      </c>
      <c r="E25" s="2">
        <v>475</v>
      </c>
      <c r="F25" s="2">
        <v>475</v>
      </c>
      <c r="G25" s="15">
        <f t="shared" si="3"/>
        <v>476.66666666666669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38"/>
      <c r="C26" s="1" t="s">
        <v>6</v>
      </c>
      <c r="D26" s="2">
        <v>562</v>
      </c>
      <c r="E26" s="2">
        <v>558</v>
      </c>
      <c r="F26" s="2">
        <v>565</v>
      </c>
      <c r="G26" s="15">
        <f>SUM(D26:F26)/3</f>
        <v>561.66666666666663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40"/>
      <c r="C27" s="4" t="s">
        <v>7</v>
      </c>
      <c r="D27" s="5">
        <v>588</v>
      </c>
      <c r="E27" s="5">
        <v>640</v>
      </c>
      <c r="F27" s="5">
        <v>584</v>
      </c>
      <c r="G27" s="15">
        <f>SUM(D27:F27)/3</f>
        <v>604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36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37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37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37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39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41" t="s">
        <v>22</v>
      </c>
      <c r="C34" s="41"/>
      <c r="D34" s="35" t="s">
        <v>25</v>
      </c>
      <c r="E34" s="35"/>
      <c r="F34" s="35"/>
      <c r="G34" s="35"/>
      <c r="H34" s="35" t="s">
        <v>18</v>
      </c>
      <c r="I34" s="35"/>
      <c r="J34" s="35"/>
      <c r="K34" s="35"/>
      <c r="L34" s="35" t="s">
        <v>19</v>
      </c>
      <c r="M34" s="35"/>
      <c r="N34" s="35"/>
      <c r="O34" s="35"/>
      <c r="P34" s="35" t="s">
        <v>20</v>
      </c>
      <c r="Q34" s="35"/>
      <c r="R34" s="35"/>
      <c r="S34" s="35"/>
    </row>
    <row r="35" spans="2:19" x14ac:dyDescent="0.2">
      <c r="B35" s="42"/>
      <c r="C35" s="42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37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37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38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38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36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37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38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38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36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37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38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38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36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37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38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38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36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37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37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39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13:B17"/>
    <mergeCell ref="B18:B22"/>
    <mergeCell ref="B23:B27"/>
    <mergeCell ref="B28:B32"/>
    <mergeCell ref="B6:C7"/>
    <mergeCell ref="D6:G6"/>
    <mergeCell ref="H6:K6"/>
    <mergeCell ref="L6:O6"/>
    <mergeCell ref="P6:S6"/>
    <mergeCell ref="B8:B12"/>
    <mergeCell ref="B34:C35"/>
    <mergeCell ref="D34:G34"/>
    <mergeCell ref="H34:K34"/>
    <mergeCell ref="L34:O34"/>
    <mergeCell ref="P34:S34"/>
    <mergeCell ref="B36:B39"/>
    <mergeCell ref="B40:B43"/>
    <mergeCell ref="B44:B47"/>
    <mergeCell ref="B48:B51"/>
    <mergeCell ref="B52:B5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2015-08-23T22:57:44Z</dcterms:modified>
</cp:coreProperties>
</file>