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PBR\"/>
    </mc:Choice>
  </mc:AlternateContent>
  <xr:revisionPtr revIDLastSave="0" documentId="13_ncr:1_{1E45238D-9EC7-49BF-8061-11593FEDB154}" xr6:coauthVersionLast="47" xr6:coauthVersionMax="47" xr10:uidLastSave="{00000000-0000-0000-0000-000000000000}"/>
  <bookViews>
    <workbookView xWindow="-120" yWindow="-120" windowWidth="29040" windowHeight="16440" tabRatio="603" activeTab="2" xr2:uid="{00000000-000D-0000-FFFF-FFFF00000000}"/>
  </bookViews>
  <sheets>
    <sheet name="Detail Table(Forecast)" sheetId="10" r:id="rId1"/>
    <sheet name="Detail Table(Input this !)" sheetId="8" r:id="rId2"/>
    <sheet name="2022 Quality Business Plan" sheetId="7" r:id="rId3"/>
    <sheet name="Assawa san" sheetId="11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2">'2022 Quality Business Plan'!$A$1:$AR$46</definedName>
    <definedName name="_xlnm.Print_Area" localSheetId="3">'Assawa san'!$A$1:$Y$60</definedName>
    <definedName name="_xlnm.Print_Area" localSheetId="0">'Detail Table(Forecast)'!$A$1:$U$60</definedName>
    <definedName name="_xlnm.Print_Area" localSheetId="1">'Detail Table(Input this !)'!$A$1:$U$60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8" i="8" l="1"/>
  <c r="R38" i="8"/>
  <c r="Q38" i="8"/>
  <c r="P38" i="8"/>
  <c r="O38" i="8"/>
  <c r="L38" i="8"/>
  <c r="K38" i="8"/>
  <c r="J38" i="8"/>
  <c r="I38" i="8"/>
  <c r="H38" i="8"/>
  <c r="G38" i="8"/>
  <c r="N38" i="8"/>
  <c r="S38" i="10"/>
  <c r="R38" i="10"/>
  <c r="Q38" i="10"/>
  <c r="P38" i="10"/>
  <c r="O38" i="10"/>
  <c r="N38" i="10"/>
  <c r="L38" i="10"/>
  <c r="K38" i="10"/>
  <c r="J38" i="10"/>
  <c r="I38" i="10"/>
  <c r="H38" i="10"/>
  <c r="G38" i="10"/>
  <c r="S23" i="10"/>
  <c r="R23" i="10"/>
  <c r="Q23" i="10"/>
  <c r="P23" i="10"/>
  <c r="O23" i="10"/>
  <c r="N23" i="10"/>
  <c r="H23" i="10"/>
  <c r="I23" i="10"/>
  <c r="J23" i="10"/>
  <c r="K23" i="10"/>
  <c r="L23" i="10"/>
  <c r="G23" i="10"/>
  <c r="S32" i="8" l="1"/>
  <c r="R32" i="8"/>
  <c r="Q32" i="8"/>
  <c r="P32" i="8"/>
  <c r="O32" i="8"/>
  <c r="N32" i="8"/>
  <c r="L32" i="8"/>
  <c r="K32" i="8"/>
  <c r="J32" i="8"/>
  <c r="I32" i="8"/>
  <c r="H32" i="8"/>
  <c r="G32" i="8"/>
  <c r="S10" i="8"/>
  <c r="R10" i="8"/>
  <c r="Q10" i="8"/>
  <c r="P10" i="8"/>
  <c r="O10" i="8"/>
  <c r="N10" i="8"/>
  <c r="L10" i="8"/>
  <c r="K10" i="8"/>
  <c r="J10" i="8"/>
  <c r="I10" i="8"/>
  <c r="H10" i="8"/>
  <c r="G10" i="8"/>
  <c r="G37" i="7"/>
  <c r="G38" i="7"/>
  <c r="G39" i="7"/>
  <c r="G40" i="7"/>
  <c r="G32" i="7"/>
  <c r="G33" i="7"/>
  <c r="G34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S5" i="10" l="1"/>
  <c r="R5" i="10"/>
  <c r="Q5" i="10"/>
  <c r="P5" i="10"/>
  <c r="O5" i="10"/>
  <c r="N5" i="10"/>
  <c r="S4" i="10"/>
  <c r="R4" i="10"/>
  <c r="Q4" i="10"/>
  <c r="P4" i="10"/>
  <c r="O4" i="10"/>
  <c r="N4" i="10"/>
  <c r="L5" i="10"/>
  <c r="K5" i="10"/>
  <c r="J5" i="10"/>
  <c r="I5" i="10"/>
  <c r="H5" i="10"/>
  <c r="L4" i="10"/>
  <c r="K4" i="10"/>
  <c r="J4" i="10"/>
  <c r="I4" i="10"/>
  <c r="H4" i="10"/>
  <c r="G5" i="10"/>
  <c r="G4" i="10"/>
  <c r="AL40" i="7" l="1"/>
  <c r="AK40" i="7"/>
  <c r="AJ40" i="7"/>
  <c r="AI40" i="7"/>
  <c r="AH40" i="7"/>
  <c r="AG40" i="7"/>
  <c r="AF40" i="7"/>
  <c r="AE40" i="7"/>
  <c r="AD40" i="7"/>
  <c r="AB40" i="7"/>
  <c r="Q40" i="7"/>
  <c r="O40" i="7"/>
  <c r="M40" i="7"/>
  <c r="K40" i="7"/>
  <c r="I40" i="7"/>
  <c r="AC37" i="7"/>
  <c r="AC40" i="7" s="1"/>
  <c r="AA37" i="7"/>
  <c r="AA40" i="7" s="1"/>
  <c r="R37" i="7"/>
  <c r="R40" i="7" s="1"/>
  <c r="P37" i="7" l="1"/>
  <c r="P40" i="7" s="1"/>
  <c r="N37" i="7"/>
  <c r="N40" i="7" s="1"/>
  <c r="L37" i="7"/>
  <c r="L40" i="7" s="1"/>
  <c r="J37" i="7" l="1"/>
  <c r="J40" i="7" s="1"/>
  <c r="S56" i="8"/>
  <c r="R56" i="8"/>
  <c r="Q56" i="8"/>
  <c r="P56" i="8"/>
  <c r="O56" i="8"/>
  <c r="N56" i="8"/>
  <c r="S55" i="8"/>
  <c r="R55" i="8"/>
  <c r="Q55" i="8"/>
  <c r="P55" i="8"/>
  <c r="O55" i="8"/>
  <c r="N55" i="8"/>
  <c r="S54" i="8"/>
  <c r="R54" i="8"/>
  <c r="Q54" i="8"/>
  <c r="P54" i="8"/>
  <c r="O54" i="8"/>
  <c r="N54" i="8"/>
  <c r="S53" i="8"/>
  <c r="R53" i="8"/>
  <c r="Q53" i="8"/>
  <c r="P53" i="8"/>
  <c r="O53" i="8"/>
  <c r="N53" i="8"/>
  <c r="S52" i="8"/>
  <c r="R52" i="8"/>
  <c r="Q52" i="8"/>
  <c r="P52" i="8"/>
  <c r="O52" i="8"/>
  <c r="N52" i="8"/>
  <c r="S51" i="8"/>
  <c r="R51" i="8"/>
  <c r="Q51" i="8"/>
  <c r="P51" i="8"/>
  <c r="O51" i="8"/>
  <c r="N51" i="8"/>
  <c r="S50" i="8"/>
  <c r="R50" i="8"/>
  <c r="Q50" i="8"/>
  <c r="P50" i="8"/>
  <c r="O50" i="8"/>
  <c r="N50" i="8"/>
  <c r="S49" i="8"/>
  <c r="R49" i="8"/>
  <c r="Q49" i="8"/>
  <c r="P49" i="8"/>
  <c r="O49" i="8"/>
  <c r="N49" i="8"/>
  <c r="S48" i="8"/>
  <c r="R48" i="8"/>
  <c r="Q48" i="8"/>
  <c r="P48" i="8"/>
  <c r="O48" i="8"/>
  <c r="N48" i="8"/>
  <c r="S47" i="8"/>
  <c r="R47" i="8"/>
  <c r="Q47" i="8"/>
  <c r="P47" i="8"/>
  <c r="O47" i="8"/>
  <c r="N47" i="8"/>
  <c r="S46" i="8"/>
  <c r="R46" i="8"/>
  <c r="Q46" i="8"/>
  <c r="P46" i="8"/>
  <c r="O46" i="8"/>
  <c r="N46" i="8"/>
  <c r="S45" i="8"/>
  <c r="R45" i="8"/>
  <c r="Q45" i="8"/>
  <c r="P45" i="8"/>
  <c r="O45" i="8"/>
  <c r="N45" i="8"/>
  <c r="S44" i="8"/>
  <c r="R44" i="8"/>
  <c r="Q44" i="8"/>
  <c r="P44" i="8"/>
  <c r="O44" i="8"/>
  <c r="N44" i="8"/>
  <c r="S43" i="8"/>
  <c r="R43" i="8"/>
  <c r="Q43" i="8"/>
  <c r="P43" i="8"/>
  <c r="O43" i="8"/>
  <c r="N43" i="8"/>
  <c r="S42" i="8"/>
  <c r="R42" i="8"/>
  <c r="Q42" i="8"/>
  <c r="P42" i="8"/>
  <c r="O42" i="8"/>
  <c r="N42" i="8"/>
  <c r="S41" i="8"/>
  <c r="R41" i="8"/>
  <c r="Q41" i="8"/>
  <c r="P41" i="8"/>
  <c r="O41" i="8"/>
  <c r="N41" i="8"/>
  <c r="H37" i="7"/>
  <c r="H38" i="7" l="1"/>
  <c r="J38" i="7" s="1"/>
  <c r="L38" i="7" s="1"/>
  <c r="N38" i="7" s="1"/>
  <c r="P38" i="7" s="1"/>
  <c r="R38" i="7" s="1"/>
  <c r="AA38" i="7" s="1"/>
  <c r="AC38" i="7" s="1"/>
  <c r="AE38" i="7" s="1"/>
  <c r="AG38" i="7" s="1"/>
  <c r="AI38" i="7" s="1"/>
  <c r="AK38" i="7" s="1"/>
  <c r="H40" i="7"/>
  <c r="G28" i="8" l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S28" i="8"/>
  <c r="R28" i="8"/>
  <c r="Q28" i="8"/>
  <c r="P28" i="8"/>
  <c r="O28" i="8"/>
  <c r="N28" i="8"/>
  <c r="L28" i="8"/>
  <c r="K28" i="8"/>
  <c r="J28" i="8"/>
  <c r="I28" i="8"/>
  <c r="H28" i="8"/>
  <c r="Q11" i="8"/>
  <c r="P11" i="8"/>
  <c r="O11" i="8"/>
  <c r="O21" i="8" s="1"/>
  <c r="N11" i="8"/>
  <c r="I11" i="8"/>
  <c r="I21" i="8" s="1"/>
  <c r="H11" i="8"/>
  <c r="G11" i="8"/>
  <c r="J11" i="8" l="1"/>
  <c r="J21" i="8" s="1"/>
  <c r="R11" i="8"/>
  <c r="R21" i="8" s="1"/>
  <c r="N21" i="8"/>
  <c r="K11" i="8"/>
  <c r="K21" i="8" s="1"/>
  <c r="S11" i="8"/>
  <c r="S21" i="8" s="1"/>
  <c r="G21" i="8"/>
  <c r="L11" i="8"/>
  <c r="L21" i="8" s="1"/>
  <c r="H21" i="8"/>
  <c r="P21" i="8"/>
  <c r="Q21" i="8"/>
  <c r="R1" i="7" l="1"/>
  <c r="AO1" i="7" s="1"/>
  <c r="AC3" i="7"/>
  <c r="AM3" i="7"/>
  <c r="AM4" i="7"/>
  <c r="AM5" i="7"/>
  <c r="AM6" i="7"/>
  <c r="AM7" i="7"/>
  <c r="Z8" i="7"/>
  <c r="AA10" i="7"/>
  <c r="AG10" i="7"/>
  <c r="AM10" i="7"/>
  <c r="AQ10" i="7"/>
  <c r="AR10" i="7"/>
  <c r="AT19" i="7"/>
  <c r="H13" i="7"/>
  <c r="J13" i="7"/>
  <c r="L13" i="7"/>
  <c r="N13" i="7"/>
  <c r="P13" i="7"/>
  <c r="R13" i="7"/>
  <c r="T13" i="7"/>
  <c r="AA13" i="7"/>
  <c r="AC13" i="7"/>
  <c r="AE13" i="7"/>
  <c r="AG13" i="7"/>
  <c r="AI13" i="7"/>
  <c r="AK13" i="7"/>
  <c r="AL13" i="7"/>
  <c r="AM13" i="7"/>
  <c r="AO13" i="7"/>
  <c r="AQ13" i="7"/>
  <c r="AR13" i="7"/>
  <c r="AT13" i="7"/>
  <c r="I14" i="7"/>
  <c r="K14" i="7"/>
  <c r="M14" i="7"/>
  <c r="O14" i="7"/>
  <c r="Q14" i="7"/>
  <c r="S14" i="7"/>
  <c r="T14" i="7"/>
  <c r="AB14" i="7"/>
  <c r="AD14" i="7"/>
  <c r="AF14" i="7"/>
  <c r="AH14" i="7"/>
  <c r="AJ14" i="7"/>
  <c r="AM14" i="7"/>
  <c r="AO14" i="7"/>
  <c r="AQ14" i="7"/>
  <c r="AR14" i="7"/>
  <c r="AT14" i="7"/>
  <c r="I15" i="7"/>
  <c r="K15" i="7"/>
  <c r="M15" i="7"/>
  <c r="O15" i="7"/>
  <c r="Q15" i="7"/>
  <c r="S15" i="7"/>
  <c r="T15" i="7"/>
  <c r="AB15" i="7"/>
  <c r="AD15" i="7"/>
  <c r="AF15" i="7"/>
  <c r="AH15" i="7"/>
  <c r="AJ15" i="7"/>
  <c r="AM15" i="7"/>
  <c r="AO15" i="7"/>
  <c r="AQ15" i="7"/>
  <c r="AR15" i="7"/>
  <c r="AT15" i="7"/>
  <c r="I16" i="7"/>
  <c r="K16" i="7"/>
  <c r="M16" i="7"/>
  <c r="O16" i="7"/>
  <c r="Q16" i="7"/>
  <c r="S16" i="7"/>
  <c r="T16" i="7"/>
  <c r="AB16" i="7"/>
  <c r="AD16" i="7"/>
  <c r="AF16" i="7"/>
  <c r="AH16" i="7"/>
  <c r="AJ16" i="7"/>
  <c r="AM16" i="7"/>
  <c r="AO16" i="7"/>
  <c r="H19" i="7"/>
  <c r="I19" i="7"/>
  <c r="J19" i="7"/>
  <c r="K19" i="7"/>
  <c r="L19" i="7"/>
  <c r="M19" i="7"/>
  <c r="N19" i="7"/>
  <c r="O19" i="7"/>
  <c r="P19" i="7"/>
  <c r="Q19" i="7"/>
  <c r="R19" i="7"/>
  <c r="S19" i="7"/>
  <c r="AA19" i="7"/>
  <c r="AB19" i="7"/>
  <c r="AC19" i="7"/>
  <c r="AD19" i="7"/>
  <c r="AE19" i="7"/>
  <c r="AF19" i="7"/>
  <c r="AG19" i="7"/>
  <c r="AH19" i="7"/>
  <c r="AI19" i="7"/>
  <c r="AJ19" i="7"/>
  <c r="AK19" i="7"/>
  <c r="H20" i="7"/>
  <c r="I20" i="7"/>
  <c r="J20" i="7"/>
  <c r="K20" i="7"/>
  <c r="L20" i="7"/>
  <c r="M20" i="7"/>
  <c r="N20" i="7"/>
  <c r="O20" i="7"/>
  <c r="P20" i="7"/>
  <c r="Q20" i="7"/>
  <c r="R20" i="7"/>
  <c r="S20" i="7"/>
  <c r="AA20" i="7"/>
  <c r="AB20" i="7"/>
  <c r="AC20" i="7"/>
  <c r="AD20" i="7"/>
  <c r="AE20" i="7"/>
  <c r="AF20" i="7"/>
  <c r="AG20" i="7"/>
  <c r="AH20" i="7"/>
  <c r="AI20" i="7"/>
  <c r="AJ20" i="7"/>
  <c r="AK20" i="7"/>
  <c r="H21" i="7"/>
  <c r="I21" i="7"/>
  <c r="J21" i="7"/>
  <c r="K21" i="7"/>
  <c r="L21" i="7"/>
  <c r="M21" i="7"/>
  <c r="N21" i="7"/>
  <c r="O21" i="7"/>
  <c r="P21" i="7"/>
  <c r="Q21" i="7"/>
  <c r="R21" i="7"/>
  <c r="S21" i="7"/>
  <c r="AA21" i="7"/>
  <c r="AB21" i="7"/>
  <c r="AC21" i="7"/>
  <c r="AD21" i="7"/>
  <c r="AE21" i="7"/>
  <c r="AF21" i="7"/>
  <c r="AG21" i="7"/>
  <c r="AH21" i="7"/>
  <c r="AI21" i="7"/>
  <c r="AJ21" i="7"/>
  <c r="AK21" i="7"/>
  <c r="H22" i="7"/>
  <c r="I22" i="7"/>
  <c r="J22" i="7"/>
  <c r="K22" i="7"/>
  <c r="L22" i="7"/>
  <c r="M22" i="7"/>
  <c r="N22" i="7"/>
  <c r="O22" i="7"/>
  <c r="P22" i="7"/>
  <c r="Q22" i="7"/>
  <c r="R22" i="7"/>
  <c r="S22" i="7"/>
  <c r="AA22" i="7"/>
  <c r="AB22" i="7"/>
  <c r="AC22" i="7"/>
  <c r="AD22" i="7"/>
  <c r="AE22" i="7"/>
  <c r="AF22" i="7"/>
  <c r="AG22" i="7"/>
  <c r="AH22" i="7"/>
  <c r="AI22" i="7"/>
  <c r="AJ22" i="7"/>
  <c r="AK22" i="7"/>
  <c r="I24" i="7"/>
  <c r="K24" i="7"/>
  <c r="M24" i="7"/>
  <c r="O24" i="7"/>
  <c r="Q24" i="7"/>
  <c r="S24" i="7"/>
  <c r="AB24" i="7"/>
  <c r="AD24" i="7"/>
  <c r="AF24" i="7"/>
  <c r="AH24" i="7"/>
  <c r="AJ24" i="7"/>
  <c r="I25" i="7"/>
  <c r="K25" i="7"/>
  <c r="M25" i="7"/>
  <c r="O25" i="7"/>
  <c r="Q25" i="7"/>
  <c r="S25" i="7"/>
  <c r="AB25" i="7"/>
  <c r="AD25" i="7"/>
  <c r="AF25" i="7"/>
  <c r="AH25" i="7"/>
  <c r="AJ25" i="7"/>
  <c r="H26" i="7"/>
  <c r="I26" i="7"/>
  <c r="J26" i="7"/>
  <c r="K26" i="7"/>
  <c r="L26" i="7"/>
  <c r="M26" i="7"/>
  <c r="N26" i="7"/>
  <c r="O26" i="7"/>
  <c r="P26" i="7"/>
  <c r="Q26" i="7"/>
  <c r="R26" i="7"/>
  <c r="S26" i="7"/>
  <c r="AA26" i="7"/>
  <c r="AB26" i="7"/>
  <c r="AC26" i="7"/>
  <c r="AD26" i="7"/>
  <c r="AE26" i="7"/>
  <c r="AF26" i="7"/>
  <c r="AG26" i="7"/>
  <c r="AH26" i="7"/>
  <c r="AI26" i="7"/>
  <c r="AJ26" i="7"/>
  <c r="AK26" i="7"/>
  <c r="I27" i="7"/>
  <c r="K27" i="7"/>
  <c r="M27" i="7"/>
  <c r="O27" i="7"/>
  <c r="Q27" i="7"/>
  <c r="S27" i="7"/>
  <c r="AB27" i="7"/>
  <c r="AD27" i="7"/>
  <c r="AF27" i="7"/>
  <c r="AH27" i="7"/>
  <c r="AJ27" i="7"/>
  <c r="AL29" i="7"/>
  <c r="I32" i="7"/>
  <c r="K32" i="7"/>
  <c r="M32" i="7"/>
  <c r="O32" i="7"/>
  <c r="O34" i="7" s="1"/>
  <c r="Q32" i="7"/>
  <c r="Q34" i="7" s="1"/>
  <c r="S32" i="7"/>
  <c r="S34" i="7" s="1"/>
  <c r="AB32" i="7"/>
  <c r="AB34" i="7" s="1"/>
  <c r="AD32" i="7"/>
  <c r="AD34" i="7" s="1"/>
  <c r="AF32" i="7"/>
  <c r="AF34" i="7" s="1"/>
  <c r="AH32" i="7"/>
  <c r="AH34" i="7" s="1"/>
  <c r="AJ32" i="7"/>
  <c r="AJ34" i="7" s="1"/>
  <c r="AL32" i="7"/>
  <c r="AL34" i="7" s="1"/>
  <c r="AN33" i="7"/>
  <c r="AL35" i="7"/>
  <c r="U37" i="7"/>
  <c r="U38" i="7"/>
  <c r="U39" i="7"/>
  <c r="AN39" i="7"/>
  <c r="AP39" i="7" s="1"/>
  <c r="S40" i="7"/>
  <c r="M4" i="8"/>
  <c r="T4" i="8"/>
  <c r="M5" i="8"/>
  <c r="T5" i="8"/>
  <c r="G6" i="8"/>
  <c r="H6" i="8"/>
  <c r="I6" i="8"/>
  <c r="J6" i="8"/>
  <c r="K6" i="8"/>
  <c r="L6" i="8"/>
  <c r="N6" i="8"/>
  <c r="O6" i="8"/>
  <c r="P6" i="8"/>
  <c r="Q6" i="8"/>
  <c r="R6" i="8"/>
  <c r="S6" i="8"/>
  <c r="M7" i="8"/>
  <c r="T7" i="8"/>
  <c r="U7" i="8"/>
  <c r="M10" i="8"/>
  <c r="T10" i="8"/>
  <c r="M18" i="7"/>
  <c r="O18" i="7"/>
  <c r="AD18" i="7"/>
  <c r="AF18" i="7"/>
  <c r="M12" i="8"/>
  <c r="T12" i="8"/>
  <c r="U12" i="8"/>
  <c r="M13" i="8"/>
  <c r="T13" i="8"/>
  <c r="U13" i="8"/>
  <c r="M15" i="8"/>
  <c r="T15" i="8"/>
  <c r="U15" i="8"/>
  <c r="M16" i="8"/>
  <c r="T16" i="8"/>
  <c r="U16" i="8"/>
  <c r="M18" i="8"/>
  <c r="T18" i="8"/>
  <c r="U18" i="8"/>
  <c r="M19" i="8"/>
  <c r="T19" i="8"/>
  <c r="U19" i="8"/>
  <c r="M20" i="8"/>
  <c r="T20" i="8"/>
  <c r="U20" i="8"/>
  <c r="M22" i="8"/>
  <c r="T22" i="8"/>
  <c r="U22" i="8"/>
  <c r="M23" i="8"/>
  <c r="M28" i="8" s="1"/>
  <c r="T23" i="8"/>
  <c r="M25" i="8"/>
  <c r="T25" i="8"/>
  <c r="U25" i="8"/>
  <c r="M27" i="8"/>
  <c r="T27" i="8"/>
  <c r="U27" i="8"/>
  <c r="T28" i="8"/>
  <c r="M29" i="8"/>
  <c r="T29" i="8"/>
  <c r="U29" i="8"/>
  <c r="M30" i="8"/>
  <c r="T30" i="8"/>
  <c r="U30" i="8"/>
  <c r="M31" i="8"/>
  <c r="T31" i="8"/>
  <c r="U31" i="8"/>
  <c r="M32" i="8"/>
  <c r="T32" i="8"/>
  <c r="G33" i="8"/>
  <c r="H33" i="8"/>
  <c r="I33" i="8"/>
  <c r="J33" i="8"/>
  <c r="K33" i="8"/>
  <c r="L33" i="8"/>
  <c r="N33" i="8"/>
  <c r="O33" i="8"/>
  <c r="P33" i="8"/>
  <c r="Q33" i="8"/>
  <c r="R33" i="8"/>
  <c r="S33" i="8"/>
  <c r="M37" i="8"/>
  <c r="T37" i="8"/>
  <c r="U37" i="8"/>
  <c r="M38" i="8"/>
  <c r="T38" i="8"/>
  <c r="M40" i="8"/>
  <c r="T40" i="8"/>
  <c r="U40" i="8"/>
  <c r="G41" i="8"/>
  <c r="I33" i="7" s="1"/>
  <c r="H41" i="8"/>
  <c r="K33" i="7" s="1"/>
  <c r="I41" i="8"/>
  <c r="M33" i="7" s="1"/>
  <c r="J41" i="8"/>
  <c r="K41" i="8"/>
  <c r="L41" i="8"/>
  <c r="T53" i="8"/>
  <c r="U53" i="8" s="1"/>
  <c r="T54" i="8"/>
  <c r="U54" i="8" s="1"/>
  <c r="M57" i="8"/>
  <c r="T57" i="8"/>
  <c r="J4" i="11"/>
  <c r="N4" i="11"/>
  <c r="O4" i="11"/>
  <c r="S4" i="11"/>
  <c r="W4" i="11"/>
  <c r="X4" i="11"/>
  <c r="Y4" i="11"/>
  <c r="J5" i="11"/>
  <c r="N5" i="11"/>
  <c r="O5" i="11"/>
  <c r="S5" i="11"/>
  <c r="W5" i="11"/>
  <c r="X5" i="11"/>
  <c r="Y5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G7" i="11"/>
  <c r="H7" i="11"/>
  <c r="I7" i="11"/>
  <c r="K7" i="11"/>
  <c r="L7" i="11"/>
  <c r="M7" i="11"/>
  <c r="O7" i="11"/>
  <c r="P7" i="11"/>
  <c r="Q7" i="11"/>
  <c r="R7" i="11"/>
  <c r="T7" i="11"/>
  <c r="U7" i="11"/>
  <c r="V7" i="11"/>
  <c r="X7" i="11"/>
  <c r="Y7" i="11"/>
  <c r="G8" i="11"/>
  <c r="H8" i="11"/>
  <c r="I8" i="11"/>
  <c r="K8" i="11"/>
  <c r="L8" i="11"/>
  <c r="M8" i="11"/>
  <c r="P8" i="11"/>
  <c r="Q8" i="11"/>
  <c r="R8" i="11"/>
  <c r="T8" i="11"/>
  <c r="U8" i="11"/>
  <c r="V8" i="11"/>
  <c r="G9" i="11"/>
  <c r="H9" i="11"/>
  <c r="I9" i="11"/>
  <c r="K9" i="11"/>
  <c r="L9" i="11"/>
  <c r="M9" i="11"/>
  <c r="P9" i="11"/>
  <c r="Q9" i="11"/>
  <c r="R9" i="11"/>
  <c r="T9" i="11"/>
  <c r="U9" i="11"/>
  <c r="V9" i="11"/>
  <c r="G12" i="11"/>
  <c r="H12" i="11"/>
  <c r="I12" i="11"/>
  <c r="K12" i="11"/>
  <c r="L12" i="11"/>
  <c r="M12" i="11"/>
  <c r="O12" i="11"/>
  <c r="P12" i="11"/>
  <c r="Q12" i="11"/>
  <c r="R12" i="11"/>
  <c r="T12" i="11"/>
  <c r="U12" i="11"/>
  <c r="V12" i="11"/>
  <c r="X12" i="11"/>
  <c r="Y12" i="11"/>
  <c r="G13" i="11"/>
  <c r="H13" i="11"/>
  <c r="I13" i="11"/>
  <c r="K13" i="11"/>
  <c r="L13" i="11"/>
  <c r="M13" i="11"/>
  <c r="O13" i="11"/>
  <c r="P13" i="11"/>
  <c r="Q13" i="11"/>
  <c r="R13" i="11"/>
  <c r="T13" i="11"/>
  <c r="U13" i="11"/>
  <c r="V13" i="11"/>
  <c r="X13" i="11"/>
  <c r="Y13" i="11"/>
  <c r="G14" i="11"/>
  <c r="H14" i="11"/>
  <c r="I14" i="11"/>
  <c r="K14" i="11"/>
  <c r="L14" i="11"/>
  <c r="M14" i="11"/>
  <c r="P14" i="11"/>
  <c r="Q14" i="11"/>
  <c r="R14" i="11"/>
  <c r="T14" i="11"/>
  <c r="U14" i="11"/>
  <c r="V14" i="11"/>
  <c r="G15" i="11"/>
  <c r="H15" i="11"/>
  <c r="I15" i="11"/>
  <c r="K15" i="11"/>
  <c r="L15" i="11"/>
  <c r="M15" i="11"/>
  <c r="O15" i="11"/>
  <c r="P15" i="11"/>
  <c r="Q15" i="11"/>
  <c r="R15" i="11"/>
  <c r="T15" i="11"/>
  <c r="U15" i="11"/>
  <c r="V15" i="11"/>
  <c r="X15" i="11"/>
  <c r="Y15" i="11"/>
  <c r="G16" i="11"/>
  <c r="H16" i="11"/>
  <c r="I16" i="11"/>
  <c r="K16" i="11"/>
  <c r="L16" i="11"/>
  <c r="M16" i="11"/>
  <c r="O16" i="11"/>
  <c r="P16" i="11"/>
  <c r="Q16" i="11"/>
  <c r="R16" i="11"/>
  <c r="T16" i="11"/>
  <c r="U16" i="11"/>
  <c r="V16" i="11"/>
  <c r="X16" i="11"/>
  <c r="Y16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G18" i="11"/>
  <c r="H18" i="11"/>
  <c r="I18" i="11"/>
  <c r="K18" i="11"/>
  <c r="L18" i="11"/>
  <c r="M18" i="11"/>
  <c r="O18" i="11"/>
  <c r="P18" i="11"/>
  <c r="Q18" i="11"/>
  <c r="R18" i="11"/>
  <c r="T18" i="11"/>
  <c r="U18" i="11"/>
  <c r="V18" i="11"/>
  <c r="X18" i="11"/>
  <c r="Y18" i="11"/>
  <c r="G19" i="11"/>
  <c r="H19" i="11"/>
  <c r="I19" i="11"/>
  <c r="K19" i="11"/>
  <c r="L19" i="11"/>
  <c r="M19" i="11"/>
  <c r="O19" i="11"/>
  <c r="P19" i="11"/>
  <c r="Q19" i="11"/>
  <c r="R19" i="11"/>
  <c r="T19" i="11"/>
  <c r="U19" i="11"/>
  <c r="V19" i="11"/>
  <c r="X19" i="11"/>
  <c r="Y19" i="11"/>
  <c r="G20" i="11"/>
  <c r="H20" i="11"/>
  <c r="I20" i="11"/>
  <c r="K20" i="11"/>
  <c r="L20" i="11"/>
  <c r="M20" i="11"/>
  <c r="O20" i="11"/>
  <c r="P20" i="11"/>
  <c r="Q20" i="11"/>
  <c r="R20" i="11"/>
  <c r="T20" i="11"/>
  <c r="U20" i="11"/>
  <c r="V20" i="11"/>
  <c r="X20" i="11"/>
  <c r="Y20" i="11"/>
  <c r="G24" i="11"/>
  <c r="H24" i="11"/>
  <c r="I24" i="11"/>
  <c r="K24" i="11"/>
  <c r="L24" i="11"/>
  <c r="M24" i="11"/>
  <c r="P24" i="11"/>
  <c r="Q24" i="11"/>
  <c r="R24" i="11"/>
  <c r="T24" i="11"/>
  <c r="U24" i="11"/>
  <c r="V24" i="11"/>
  <c r="G25" i="11"/>
  <c r="H25" i="11"/>
  <c r="I25" i="11"/>
  <c r="K25" i="11"/>
  <c r="L25" i="11"/>
  <c r="M25" i="11"/>
  <c r="O25" i="11"/>
  <c r="P25" i="11"/>
  <c r="Q25" i="11"/>
  <c r="R25" i="11"/>
  <c r="T25" i="11"/>
  <c r="U25" i="11"/>
  <c r="V25" i="11"/>
  <c r="X25" i="11"/>
  <c r="Y25" i="11"/>
  <c r="G26" i="11"/>
  <c r="H26" i="11"/>
  <c r="I26" i="11"/>
  <c r="K26" i="11"/>
  <c r="L26" i="11"/>
  <c r="M26" i="11"/>
  <c r="P26" i="11"/>
  <c r="Q26" i="11"/>
  <c r="R26" i="11"/>
  <c r="T26" i="11"/>
  <c r="U26" i="11"/>
  <c r="V26" i="11"/>
  <c r="G27" i="11"/>
  <c r="H27" i="11"/>
  <c r="I27" i="11"/>
  <c r="K27" i="11"/>
  <c r="L27" i="11"/>
  <c r="M27" i="11"/>
  <c r="O27" i="11"/>
  <c r="P27" i="11"/>
  <c r="Q27" i="11"/>
  <c r="R27" i="11"/>
  <c r="T27" i="11"/>
  <c r="U27" i="11"/>
  <c r="V27" i="11"/>
  <c r="X27" i="11"/>
  <c r="Y27" i="11"/>
  <c r="G29" i="11"/>
  <c r="H29" i="11"/>
  <c r="I29" i="11"/>
  <c r="K29" i="11"/>
  <c r="L29" i="11"/>
  <c r="M29" i="11"/>
  <c r="O29" i="11"/>
  <c r="P29" i="11"/>
  <c r="Q29" i="11"/>
  <c r="R29" i="11"/>
  <c r="T29" i="11"/>
  <c r="U29" i="11"/>
  <c r="V29" i="11"/>
  <c r="X29" i="11"/>
  <c r="Y29" i="11"/>
  <c r="G30" i="11"/>
  <c r="H30" i="11"/>
  <c r="I30" i="11"/>
  <c r="K30" i="11"/>
  <c r="L30" i="11"/>
  <c r="M30" i="11"/>
  <c r="O30" i="11"/>
  <c r="P30" i="11"/>
  <c r="Q30" i="11"/>
  <c r="R30" i="11"/>
  <c r="T30" i="11"/>
  <c r="U30" i="11"/>
  <c r="V30" i="11"/>
  <c r="X30" i="11"/>
  <c r="Y30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G35" i="11"/>
  <c r="H35" i="11"/>
  <c r="I35" i="11"/>
  <c r="K35" i="11"/>
  <c r="L35" i="11"/>
  <c r="M35" i="11"/>
  <c r="P35" i="11"/>
  <c r="Q35" i="11"/>
  <c r="R35" i="11"/>
  <c r="T35" i="11"/>
  <c r="U35" i="11"/>
  <c r="V35" i="11"/>
  <c r="G36" i="11"/>
  <c r="H36" i="11"/>
  <c r="I36" i="11"/>
  <c r="K36" i="11"/>
  <c r="L36" i="11"/>
  <c r="M36" i="11"/>
  <c r="P36" i="11"/>
  <c r="Q36" i="11"/>
  <c r="R36" i="11"/>
  <c r="T36" i="11"/>
  <c r="U36" i="11"/>
  <c r="V36" i="11"/>
  <c r="G37" i="11"/>
  <c r="H37" i="11"/>
  <c r="I37" i="11"/>
  <c r="K37" i="11"/>
  <c r="L37" i="11"/>
  <c r="M37" i="11"/>
  <c r="O37" i="11"/>
  <c r="P37" i="11"/>
  <c r="Q37" i="11"/>
  <c r="R37" i="11"/>
  <c r="T37" i="11"/>
  <c r="U37" i="11"/>
  <c r="V37" i="11"/>
  <c r="X37" i="11"/>
  <c r="Y37" i="11"/>
  <c r="G39" i="11"/>
  <c r="H39" i="11"/>
  <c r="I39" i="11"/>
  <c r="K39" i="11"/>
  <c r="L39" i="11"/>
  <c r="M39" i="11"/>
  <c r="P39" i="11"/>
  <c r="Q39" i="11"/>
  <c r="R39" i="11"/>
  <c r="T39" i="11"/>
  <c r="U39" i="11"/>
  <c r="V39" i="11"/>
  <c r="G40" i="11"/>
  <c r="H40" i="11"/>
  <c r="I40" i="11"/>
  <c r="K40" i="11"/>
  <c r="L40" i="11"/>
  <c r="M40" i="11"/>
  <c r="O40" i="11"/>
  <c r="P40" i="11"/>
  <c r="Q40" i="11"/>
  <c r="R40" i="11"/>
  <c r="T40" i="11"/>
  <c r="U40" i="11"/>
  <c r="V40" i="11"/>
  <c r="X40" i="11"/>
  <c r="Y40" i="11"/>
  <c r="G42" i="11"/>
  <c r="H42" i="11"/>
  <c r="I42" i="11"/>
  <c r="K42" i="11"/>
  <c r="L42" i="11"/>
  <c r="M42" i="11"/>
  <c r="P42" i="11"/>
  <c r="Q42" i="11"/>
  <c r="R42" i="11"/>
  <c r="T42" i="11"/>
  <c r="U42" i="11"/>
  <c r="V42" i="11"/>
  <c r="G43" i="11"/>
  <c r="H43" i="11"/>
  <c r="I43" i="11"/>
  <c r="K43" i="11"/>
  <c r="L43" i="11"/>
  <c r="M43" i="11"/>
  <c r="P43" i="11"/>
  <c r="Q43" i="11"/>
  <c r="R43" i="11"/>
  <c r="T43" i="11"/>
  <c r="U43" i="11"/>
  <c r="V43" i="11"/>
  <c r="G44" i="11"/>
  <c r="H44" i="11"/>
  <c r="I44" i="11"/>
  <c r="K44" i="11"/>
  <c r="L44" i="11"/>
  <c r="M44" i="11"/>
  <c r="P44" i="11"/>
  <c r="Q44" i="11"/>
  <c r="R44" i="11"/>
  <c r="T44" i="11"/>
  <c r="U44" i="11"/>
  <c r="V44" i="11"/>
  <c r="G45" i="11"/>
  <c r="H45" i="11"/>
  <c r="I45" i="11"/>
  <c r="K45" i="11"/>
  <c r="L45" i="11"/>
  <c r="M45" i="11"/>
  <c r="P45" i="11"/>
  <c r="Q45" i="11"/>
  <c r="R45" i="11"/>
  <c r="T45" i="11"/>
  <c r="U45" i="11"/>
  <c r="V45" i="11"/>
  <c r="G46" i="11"/>
  <c r="H46" i="11"/>
  <c r="I46" i="11"/>
  <c r="K46" i="11"/>
  <c r="L46" i="11"/>
  <c r="M46" i="11"/>
  <c r="P46" i="11"/>
  <c r="Q46" i="11"/>
  <c r="R46" i="11"/>
  <c r="T46" i="11"/>
  <c r="U46" i="11"/>
  <c r="V46" i="11"/>
  <c r="G47" i="11"/>
  <c r="H47" i="11"/>
  <c r="I47" i="11"/>
  <c r="K47" i="11"/>
  <c r="L47" i="11"/>
  <c r="M47" i="11"/>
  <c r="P47" i="11"/>
  <c r="Q47" i="11"/>
  <c r="R47" i="11"/>
  <c r="T47" i="11"/>
  <c r="U47" i="11"/>
  <c r="V47" i="11"/>
  <c r="G48" i="11"/>
  <c r="H48" i="11"/>
  <c r="I48" i="11"/>
  <c r="K48" i="11"/>
  <c r="L48" i="11"/>
  <c r="M48" i="11"/>
  <c r="P48" i="11"/>
  <c r="Q48" i="11"/>
  <c r="R48" i="11"/>
  <c r="T48" i="11"/>
  <c r="U48" i="11"/>
  <c r="V48" i="11"/>
  <c r="G49" i="11"/>
  <c r="H49" i="11"/>
  <c r="I49" i="11"/>
  <c r="K49" i="11"/>
  <c r="L49" i="11"/>
  <c r="M49" i="11"/>
  <c r="P49" i="11"/>
  <c r="Q49" i="11"/>
  <c r="R49" i="11"/>
  <c r="T49" i="11"/>
  <c r="U49" i="11"/>
  <c r="V49" i="11"/>
  <c r="G50" i="11"/>
  <c r="H50" i="11"/>
  <c r="I50" i="11"/>
  <c r="K50" i="11"/>
  <c r="L50" i="11"/>
  <c r="M50" i="11"/>
  <c r="P50" i="11"/>
  <c r="Q50" i="11"/>
  <c r="R50" i="11"/>
  <c r="T50" i="11"/>
  <c r="U50" i="11"/>
  <c r="V50" i="11"/>
  <c r="G51" i="11"/>
  <c r="H51" i="11"/>
  <c r="I51" i="11"/>
  <c r="K51" i="11"/>
  <c r="L51" i="11"/>
  <c r="M51" i="11"/>
  <c r="P51" i="11"/>
  <c r="Q51" i="11"/>
  <c r="R51" i="11"/>
  <c r="T51" i="11"/>
  <c r="U51" i="11"/>
  <c r="V51" i="11"/>
  <c r="G52" i="11"/>
  <c r="H52" i="11"/>
  <c r="I52" i="11"/>
  <c r="K52" i="11"/>
  <c r="L52" i="11"/>
  <c r="M52" i="11"/>
  <c r="P52" i="11"/>
  <c r="Q52" i="11"/>
  <c r="R52" i="11"/>
  <c r="T52" i="11"/>
  <c r="U52" i="11"/>
  <c r="V52" i="11"/>
  <c r="G53" i="11"/>
  <c r="H53" i="11"/>
  <c r="I53" i="11"/>
  <c r="K53" i="11"/>
  <c r="L53" i="11"/>
  <c r="M53" i="11"/>
  <c r="P53" i="11"/>
  <c r="Q53" i="11"/>
  <c r="R53" i="11"/>
  <c r="T53" i="11"/>
  <c r="U53" i="11"/>
  <c r="V53" i="11"/>
  <c r="X53" i="11"/>
  <c r="Y53" i="11"/>
  <c r="G54" i="11"/>
  <c r="H54" i="11"/>
  <c r="I54" i="11"/>
  <c r="K54" i="11"/>
  <c r="L54" i="11"/>
  <c r="M54" i="11"/>
  <c r="P54" i="11"/>
  <c r="Q54" i="11"/>
  <c r="R54" i="11"/>
  <c r="T54" i="11"/>
  <c r="U54" i="11"/>
  <c r="V54" i="11"/>
  <c r="X54" i="11"/>
  <c r="Y54" i="11"/>
  <c r="G55" i="11"/>
  <c r="H55" i="11"/>
  <c r="I55" i="11"/>
  <c r="K55" i="11"/>
  <c r="L55" i="11"/>
  <c r="M55" i="11"/>
  <c r="P55" i="11"/>
  <c r="Q55" i="11"/>
  <c r="R55" i="11"/>
  <c r="T55" i="11"/>
  <c r="U55" i="11"/>
  <c r="V55" i="11"/>
  <c r="X55" i="11"/>
  <c r="Y55" i="11"/>
  <c r="G56" i="11"/>
  <c r="H56" i="11"/>
  <c r="I56" i="11"/>
  <c r="K56" i="11"/>
  <c r="L56" i="11"/>
  <c r="M56" i="11"/>
  <c r="P56" i="11"/>
  <c r="Q56" i="11"/>
  <c r="R56" i="11"/>
  <c r="T56" i="11"/>
  <c r="U56" i="11"/>
  <c r="V56" i="11"/>
  <c r="G64" i="11"/>
  <c r="H64" i="11"/>
  <c r="I64" i="11"/>
  <c r="K64" i="11"/>
  <c r="L64" i="11"/>
  <c r="M64" i="11"/>
  <c r="P64" i="11"/>
  <c r="Q64" i="11"/>
  <c r="R64" i="11"/>
  <c r="T64" i="11"/>
  <c r="U64" i="11"/>
  <c r="V64" i="11"/>
  <c r="M7" i="10"/>
  <c r="T7" i="10"/>
  <c r="U7" i="10"/>
  <c r="M12" i="10"/>
  <c r="T12" i="10"/>
  <c r="U12" i="10"/>
  <c r="M13" i="10"/>
  <c r="T13" i="10"/>
  <c r="U13" i="10"/>
  <c r="M15" i="10"/>
  <c r="T15" i="10"/>
  <c r="U15" i="10"/>
  <c r="M16" i="10"/>
  <c r="T16" i="10"/>
  <c r="U16" i="10"/>
  <c r="G17" i="10"/>
  <c r="M17" i="10"/>
  <c r="T17" i="10"/>
  <c r="U17" i="10"/>
  <c r="M18" i="10"/>
  <c r="T18" i="10"/>
  <c r="U18" i="10"/>
  <c r="M19" i="10"/>
  <c r="T19" i="10"/>
  <c r="U19" i="10"/>
  <c r="M20" i="10"/>
  <c r="T20" i="10"/>
  <c r="U20" i="10"/>
  <c r="G28" i="10"/>
  <c r="H28" i="10"/>
  <c r="J25" i="7" s="1"/>
  <c r="K28" i="10"/>
  <c r="P25" i="7" s="1"/>
  <c r="M25" i="10"/>
  <c r="T25" i="10"/>
  <c r="U25" i="10"/>
  <c r="M27" i="10"/>
  <c r="T27" i="10"/>
  <c r="U27" i="10"/>
  <c r="M29" i="10"/>
  <c r="T29" i="10"/>
  <c r="U29" i="10"/>
  <c r="M30" i="10"/>
  <c r="T30" i="10"/>
  <c r="U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G32" i="10"/>
  <c r="G32" i="11" s="1"/>
  <c r="H32" i="10"/>
  <c r="H32" i="11" s="1"/>
  <c r="I32" i="10"/>
  <c r="I32" i="11" s="1"/>
  <c r="J32" i="10"/>
  <c r="N27" i="7" s="1"/>
  <c r="K32" i="10"/>
  <c r="L32" i="11" s="1"/>
  <c r="L32" i="10"/>
  <c r="R27" i="7" s="1"/>
  <c r="N32" i="10"/>
  <c r="AA27" i="7" s="1"/>
  <c r="O32" i="10"/>
  <c r="AC27" i="7" s="1"/>
  <c r="P32" i="10"/>
  <c r="R32" i="11" s="1"/>
  <c r="Q32" i="10"/>
  <c r="T32" i="11" s="1"/>
  <c r="R32" i="10"/>
  <c r="AI27" i="7" s="1"/>
  <c r="S32" i="10"/>
  <c r="V32" i="11" s="1"/>
  <c r="M37" i="10"/>
  <c r="T37" i="10"/>
  <c r="U37" i="10"/>
  <c r="M40" i="10"/>
  <c r="T40" i="10"/>
  <c r="U40" i="10"/>
  <c r="T53" i="10"/>
  <c r="U53" i="10"/>
  <c r="T54" i="10"/>
  <c r="U54" i="10"/>
  <c r="T55" i="10"/>
  <c r="U55" i="10"/>
  <c r="U40" i="7" l="1"/>
  <c r="U28" i="8"/>
  <c r="T6" i="8"/>
  <c r="U55" i="8"/>
  <c r="T55" i="8"/>
  <c r="U57" i="8"/>
  <c r="U4" i="8"/>
  <c r="X4" i="8" s="1"/>
  <c r="U5" i="8"/>
  <c r="X5" i="8" s="1"/>
  <c r="S13" i="7"/>
  <c r="AN19" i="7"/>
  <c r="M17" i="7"/>
  <c r="U26" i="7"/>
  <c r="AM21" i="7"/>
  <c r="O23" i="7"/>
  <c r="M34" i="7"/>
  <c r="U21" i="7"/>
  <c r="Q13" i="7"/>
  <c r="T21" i="7"/>
  <c r="AJ13" i="7"/>
  <c r="O13" i="7"/>
  <c r="T26" i="7"/>
  <c r="AN16" i="7"/>
  <c r="AN26" i="7"/>
  <c r="AP26" i="7" s="1"/>
  <c r="T22" i="7"/>
  <c r="AH13" i="7"/>
  <c r="M13" i="7"/>
  <c r="AM26" i="7"/>
  <c r="U24" i="7"/>
  <c r="AN15" i="7"/>
  <c r="AN14" i="7"/>
  <c r="U32" i="7"/>
  <c r="AM22" i="7"/>
  <c r="T20" i="7"/>
  <c r="AD13" i="7"/>
  <c r="AN24" i="7"/>
  <c r="U22" i="7"/>
  <c r="AN20" i="7"/>
  <c r="U20" i="7"/>
  <c r="U16" i="7"/>
  <c r="AP16" i="7" s="1"/>
  <c r="AB13" i="7"/>
  <c r="AM20" i="7"/>
  <c r="AJ23" i="7"/>
  <c r="AN22" i="7"/>
  <c r="AN21" i="7"/>
  <c r="AM19" i="7"/>
  <c r="T19" i="7"/>
  <c r="AP20" i="7"/>
  <c r="AF13" i="7"/>
  <c r="M23" i="7"/>
  <c r="AN25" i="7"/>
  <c r="AN32" i="7"/>
  <c r="AN34" i="7" s="1"/>
  <c r="AH23" i="7"/>
  <c r="AF17" i="7"/>
  <c r="AF23" i="7"/>
  <c r="AD17" i="7"/>
  <c r="U15" i="7"/>
  <c r="K13" i="7"/>
  <c r="U14" i="7"/>
  <c r="M6" i="8"/>
  <c r="U6" i="8" s="1"/>
  <c r="K23" i="7"/>
  <c r="I13" i="7"/>
  <c r="I34" i="7"/>
  <c r="U23" i="8"/>
  <c r="M11" i="8"/>
  <c r="M21" i="8" s="1"/>
  <c r="U19" i="7"/>
  <c r="AP19" i="7" s="1"/>
  <c r="O17" i="7"/>
  <c r="AD23" i="7"/>
  <c r="AB23" i="7"/>
  <c r="S23" i="7"/>
  <c r="Q23" i="7"/>
  <c r="U25" i="7"/>
  <c r="I23" i="7"/>
  <c r="Q32" i="11"/>
  <c r="S18" i="7"/>
  <c r="S17" i="7" s="1"/>
  <c r="J34" i="8"/>
  <c r="S34" i="8"/>
  <c r="I34" i="8"/>
  <c r="P34" i="8"/>
  <c r="M41" i="8"/>
  <c r="M33" i="8"/>
  <c r="T41" i="8"/>
  <c r="T52" i="8" s="1"/>
  <c r="U38" i="8"/>
  <c r="U33" i="7"/>
  <c r="AP33" i="7" s="1"/>
  <c r="K34" i="7"/>
  <c r="T33" i="8"/>
  <c r="R34" i="8"/>
  <c r="U32" i="8"/>
  <c r="AN27" i="7"/>
  <c r="U27" i="7"/>
  <c r="Q34" i="8"/>
  <c r="L34" i="8"/>
  <c r="K34" i="8"/>
  <c r="H34" i="8"/>
  <c r="U10" i="8"/>
  <c r="AJ18" i="7"/>
  <c r="AJ17" i="7" s="1"/>
  <c r="AH18" i="7"/>
  <c r="AH17" i="7" s="1"/>
  <c r="T11" i="8"/>
  <c r="T21" i="8" s="1"/>
  <c r="AB18" i="7"/>
  <c r="N34" i="8"/>
  <c r="Q18" i="7"/>
  <c r="Q17" i="7" s="1"/>
  <c r="K18" i="7"/>
  <c r="K17" i="7" s="1"/>
  <c r="G34" i="8"/>
  <c r="I18" i="7"/>
  <c r="P6" i="10"/>
  <c r="G6" i="10"/>
  <c r="U32" i="11"/>
  <c r="N28" i="10"/>
  <c r="P28" i="11" s="1"/>
  <c r="AN38" i="7"/>
  <c r="AP38" i="7" s="1"/>
  <c r="J6" i="10"/>
  <c r="K32" i="11"/>
  <c r="P23" i="11"/>
  <c r="L28" i="10"/>
  <c r="M28" i="11" s="1"/>
  <c r="L23" i="11"/>
  <c r="V23" i="11"/>
  <c r="K23" i="11"/>
  <c r="I28" i="10"/>
  <c r="I28" i="11" s="1"/>
  <c r="U23" i="11"/>
  <c r="Q28" i="10"/>
  <c r="AG25" i="7" s="1"/>
  <c r="H23" i="11"/>
  <c r="R23" i="11"/>
  <c r="G23" i="11"/>
  <c r="O28" i="10"/>
  <c r="Q28" i="11" s="1"/>
  <c r="H6" i="10"/>
  <c r="H28" i="11"/>
  <c r="R28" i="10"/>
  <c r="U28" i="11" s="1"/>
  <c r="R6" i="10"/>
  <c r="I6" i="10"/>
  <c r="M32" i="10"/>
  <c r="P27" i="7"/>
  <c r="T23" i="10"/>
  <c r="Q6" i="10"/>
  <c r="P32" i="11"/>
  <c r="O6" i="10"/>
  <c r="S28" i="10"/>
  <c r="AK25" i="7" s="1"/>
  <c r="AK27" i="7"/>
  <c r="T5" i="10"/>
  <c r="W4" i="8"/>
  <c r="T32" i="10"/>
  <c r="AN37" i="7"/>
  <c r="G35" i="7"/>
  <c r="AE27" i="7"/>
  <c r="J28" i="10"/>
  <c r="K28" i="11" s="1"/>
  <c r="Q23" i="11"/>
  <c r="H27" i="7"/>
  <c r="M23" i="10"/>
  <c r="T4" i="10"/>
  <c r="M4" i="10"/>
  <c r="T23" i="11"/>
  <c r="P28" i="10"/>
  <c r="N6" i="10"/>
  <c r="N57" i="10" s="1"/>
  <c r="W5" i="8"/>
  <c r="M5" i="10"/>
  <c r="K6" i="10"/>
  <c r="L6" i="10"/>
  <c r="L57" i="10" s="1"/>
  <c r="S6" i="10"/>
  <c r="S57" i="10" s="1"/>
  <c r="M23" i="11"/>
  <c r="L27" i="7"/>
  <c r="H25" i="7"/>
  <c r="L28" i="11"/>
  <c r="I23" i="11"/>
  <c r="G28" i="11"/>
  <c r="J27" i="7"/>
  <c r="AG27" i="7"/>
  <c r="M32" i="11"/>
  <c r="AP37" i="7" l="1"/>
  <c r="AN40" i="7"/>
  <c r="O35" i="7"/>
  <c r="M28" i="7"/>
  <c r="M29" i="7" s="1"/>
  <c r="X6" i="8"/>
  <c r="AP15" i="7"/>
  <c r="AO26" i="7"/>
  <c r="AQ26" i="7" s="1"/>
  <c r="AR26" i="7" s="1"/>
  <c r="AP14" i="7"/>
  <c r="AO21" i="7"/>
  <c r="AP32" i="7"/>
  <c r="AP34" i="7" s="1"/>
  <c r="AO19" i="7"/>
  <c r="AQ19" i="7" s="1"/>
  <c r="AR19" i="7" s="1"/>
  <c r="AP21" i="7"/>
  <c r="AP22" i="7"/>
  <c r="AP24" i="7"/>
  <c r="AF35" i="7"/>
  <c r="AN13" i="7"/>
  <c r="AO20" i="7"/>
  <c r="AO22" i="7"/>
  <c r="AP25" i="7"/>
  <c r="M35" i="7"/>
  <c r="AF28" i="7"/>
  <c r="AF29" i="7" s="1"/>
  <c r="U13" i="7"/>
  <c r="AD28" i="7"/>
  <c r="AD29" i="7" s="1"/>
  <c r="AA25" i="7"/>
  <c r="AA32" i="7"/>
  <c r="P57" i="11"/>
  <c r="I10" i="10"/>
  <c r="I57" i="10"/>
  <c r="R32" i="7"/>
  <c r="M57" i="11"/>
  <c r="Q10" i="10"/>
  <c r="Q57" i="10"/>
  <c r="H22" i="10"/>
  <c r="H57" i="10"/>
  <c r="G22" i="10"/>
  <c r="G57" i="10"/>
  <c r="K10" i="10"/>
  <c r="K57" i="10"/>
  <c r="O10" i="10"/>
  <c r="O57" i="10"/>
  <c r="J22" i="10"/>
  <c r="J57" i="10"/>
  <c r="P22" i="10"/>
  <c r="P57" i="10"/>
  <c r="R22" i="10"/>
  <c r="R57" i="10"/>
  <c r="V57" i="11"/>
  <c r="AK32" i="7"/>
  <c r="I22" i="10"/>
  <c r="AN23" i="7"/>
  <c r="AD35" i="7"/>
  <c r="S28" i="7"/>
  <c r="S29" i="7" s="1"/>
  <c r="U23" i="7"/>
  <c r="U41" i="8"/>
  <c r="U52" i="8" s="1"/>
  <c r="O28" i="7"/>
  <c r="O29" i="7" s="1"/>
  <c r="U33" i="8"/>
  <c r="S35" i="7"/>
  <c r="H33" i="7"/>
  <c r="R25" i="7"/>
  <c r="P10" i="10"/>
  <c r="G10" i="10"/>
  <c r="AP27" i="7"/>
  <c r="S23" i="11"/>
  <c r="X23" i="11" s="1"/>
  <c r="U34" i="7"/>
  <c r="X32" i="11"/>
  <c r="M34" i="8"/>
  <c r="O34" i="8"/>
  <c r="T34" i="8" s="1"/>
  <c r="T56" i="8" s="1"/>
  <c r="U11" i="8"/>
  <c r="U21" i="8" s="1"/>
  <c r="AH35" i="7"/>
  <c r="AH28" i="7"/>
  <c r="AH29" i="7" s="1"/>
  <c r="AJ28" i="7"/>
  <c r="AJ29" i="7" s="1"/>
  <c r="AJ35" i="7"/>
  <c r="AN18" i="7"/>
  <c r="AB17" i="7"/>
  <c r="Q28" i="7"/>
  <c r="Q29" i="7" s="1"/>
  <c r="Q35" i="7"/>
  <c r="K28" i="7"/>
  <c r="K29" i="7" s="1"/>
  <c r="K35" i="7"/>
  <c r="U18" i="7"/>
  <c r="I17" i="7"/>
  <c r="L41" i="10"/>
  <c r="M41" i="11" s="1"/>
  <c r="U23" i="10"/>
  <c r="J10" i="10"/>
  <c r="L25" i="7"/>
  <c r="AC25" i="7"/>
  <c r="J23" i="11"/>
  <c r="O23" i="11" s="1"/>
  <c r="H10" i="10"/>
  <c r="N23" i="11"/>
  <c r="I41" i="10"/>
  <c r="I41" i="11" s="1"/>
  <c r="R10" i="10"/>
  <c r="O32" i="11"/>
  <c r="Q22" i="10"/>
  <c r="H41" i="10"/>
  <c r="K38" i="11"/>
  <c r="R41" i="10"/>
  <c r="U41" i="11" s="1"/>
  <c r="P33" i="7"/>
  <c r="AI25" i="7"/>
  <c r="U5" i="10"/>
  <c r="Y5" i="8" s="1"/>
  <c r="P41" i="10"/>
  <c r="R41" i="11" s="1"/>
  <c r="N25" i="7"/>
  <c r="W23" i="11"/>
  <c r="M28" i="10"/>
  <c r="T28" i="11"/>
  <c r="Q38" i="11"/>
  <c r="K22" i="10"/>
  <c r="AG33" i="7"/>
  <c r="O22" i="10"/>
  <c r="T28" i="10"/>
  <c r="V28" i="11"/>
  <c r="U32" i="10"/>
  <c r="W6" i="8"/>
  <c r="AM27" i="7"/>
  <c r="N28" i="11"/>
  <c r="T6" i="10"/>
  <c r="M6" i="10"/>
  <c r="S22" i="10"/>
  <c r="S10" i="10"/>
  <c r="L10" i="10"/>
  <c r="L22" i="10"/>
  <c r="T27" i="7"/>
  <c r="J28" i="11"/>
  <c r="O28" i="11" s="1"/>
  <c r="N10" i="10"/>
  <c r="R28" i="11"/>
  <c r="AE25" i="7"/>
  <c r="N22" i="10"/>
  <c r="U4" i="10"/>
  <c r="Y4" i="8" s="1"/>
  <c r="L24" i="7" l="1"/>
  <c r="H22" i="11"/>
  <c r="G10" i="11"/>
  <c r="U22" i="11"/>
  <c r="P24" i="7"/>
  <c r="P23" i="7" s="1"/>
  <c r="K22" i="11"/>
  <c r="H11" i="10"/>
  <c r="H21" i="10" s="1"/>
  <c r="O11" i="10"/>
  <c r="O21" i="10" s="1"/>
  <c r="Q21" i="11" s="1"/>
  <c r="Q11" i="10"/>
  <c r="T11" i="11" s="1"/>
  <c r="L10" i="11"/>
  <c r="R10" i="11"/>
  <c r="T22" i="11"/>
  <c r="AC24" i="7"/>
  <c r="AC23" i="7" s="1"/>
  <c r="K10" i="11"/>
  <c r="R22" i="11"/>
  <c r="G22" i="11"/>
  <c r="I10" i="11"/>
  <c r="U10" i="11"/>
  <c r="AQ37" i="7"/>
  <c r="AP40" i="7"/>
  <c r="I11" i="10"/>
  <c r="L18" i="7" s="1"/>
  <c r="L17" i="7" s="1"/>
  <c r="AE24" i="7"/>
  <c r="AE23" i="7" s="1"/>
  <c r="P33" i="10"/>
  <c r="R33" i="11" s="1"/>
  <c r="AP13" i="7"/>
  <c r="AI24" i="7"/>
  <c r="AI23" i="7" s="1"/>
  <c r="H33" i="10"/>
  <c r="H33" i="11" s="1"/>
  <c r="N24" i="7"/>
  <c r="N23" i="7" s="1"/>
  <c r="J24" i="7"/>
  <c r="J23" i="7" s="1"/>
  <c r="J33" i="10"/>
  <c r="K33" i="11" s="1"/>
  <c r="K11" i="10"/>
  <c r="P18" i="7" s="1"/>
  <c r="P17" i="7" s="1"/>
  <c r="R33" i="10"/>
  <c r="U33" i="11" s="1"/>
  <c r="G33" i="10"/>
  <c r="G33" i="11" s="1"/>
  <c r="U57" i="11"/>
  <c r="AI32" i="7"/>
  <c r="P32" i="7"/>
  <c r="P34" i="7" s="1"/>
  <c r="L57" i="11"/>
  <c r="AE32" i="7"/>
  <c r="R57" i="11"/>
  <c r="H32" i="7"/>
  <c r="H34" i="7" s="1"/>
  <c r="G57" i="11"/>
  <c r="M57" i="10"/>
  <c r="I57" i="11"/>
  <c r="L32" i="7"/>
  <c r="T10" i="11"/>
  <c r="H24" i="7"/>
  <c r="H23" i="7" s="1"/>
  <c r="K57" i="11"/>
  <c r="N32" i="7"/>
  <c r="H57" i="11"/>
  <c r="J32" i="7"/>
  <c r="Q10" i="11"/>
  <c r="Q57" i="11"/>
  <c r="AC32" i="7"/>
  <c r="T57" i="11"/>
  <c r="AG32" i="7"/>
  <c r="AG34" i="7" s="1"/>
  <c r="T57" i="10"/>
  <c r="I33" i="10"/>
  <c r="I33" i="11" s="1"/>
  <c r="I22" i="11"/>
  <c r="J33" i="7"/>
  <c r="AP23" i="7"/>
  <c r="H38" i="11"/>
  <c r="R38" i="11"/>
  <c r="O41" i="10"/>
  <c r="Q41" i="11" s="1"/>
  <c r="AC33" i="7"/>
  <c r="G38" i="11"/>
  <c r="G41" i="10"/>
  <c r="G41" i="11" s="1"/>
  <c r="AE33" i="7"/>
  <c r="P11" i="10"/>
  <c r="R11" i="11" s="1"/>
  <c r="G11" i="10"/>
  <c r="G11" i="11" s="1"/>
  <c r="AO27" i="7"/>
  <c r="AQ27" i="7" s="1"/>
  <c r="AR27" i="7" s="1"/>
  <c r="Y32" i="11"/>
  <c r="U34" i="8"/>
  <c r="U56" i="8" s="1"/>
  <c r="AP18" i="7"/>
  <c r="AB35" i="7"/>
  <c r="AN17" i="7"/>
  <c r="AN35" i="7" s="1"/>
  <c r="AB28" i="7"/>
  <c r="I35" i="7"/>
  <c r="I28" i="7"/>
  <c r="U17" i="7"/>
  <c r="M38" i="11"/>
  <c r="R33" i="7"/>
  <c r="R34" i="7" s="1"/>
  <c r="AG24" i="7"/>
  <c r="AG23" i="7" s="1"/>
  <c r="T25" i="7"/>
  <c r="Q33" i="10"/>
  <c r="T33" i="11" s="1"/>
  <c r="L33" i="7"/>
  <c r="J11" i="10"/>
  <c r="J21" i="10" s="1"/>
  <c r="I38" i="11"/>
  <c r="N33" i="7"/>
  <c r="H10" i="11"/>
  <c r="L23" i="7"/>
  <c r="Y23" i="11"/>
  <c r="R11" i="10"/>
  <c r="R21" i="10" s="1"/>
  <c r="AI33" i="7"/>
  <c r="U38" i="11"/>
  <c r="AM25" i="7"/>
  <c r="U28" i="10"/>
  <c r="J41" i="10"/>
  <c r="K41" i="11" s="1"/>
  <c r="M22" i="10"/>
  <c r="K33" i="10"/>
  <c r="L33" i="11" s="1"/>
  <c r="M38" i="10"/>
  <c r="L38" i="11"/>
  <c r="L22" i="11"/>
  <c r="K41" i="10"/>
  <c r="L41" i="11" s="1"/>
  <c r="O33" i="10"/>
  <c r="Q33" i="11" s="1"/>
  <c r="W28" i="11"/>
  <c r="Q41" i="10"/>
  <c r="T41" i="11" s="1"/>
  <c r="T38" i="11"/>
  <c r="Q22" i="11"/>
  <c r="U6" i="10"/>
  <c r="X7" i="8" s="1"/>
  <c r="S28" i="11"/>
  <c r="X28" i="11" s="1"/>
  <c r="Y28" i="11" s="1"/>
  <c r="S41" i="10"/>
  <c r="V41" i="11" s="1"/>
  <c r="AK33" i="7"/>
  <c r="AK34" i="7" s="1"/>
  <c r="V38" i="11"/>
  <c r="P38" i="11"/>
  <c r="AA33" i="7"/>
  <c r="T38" i="10"/>
  <c r="N41" i="10"/>
  <c r="M22" i="11"/>
  <c r="L33" i="10"/>
  <c r="R24" i="7"/>
  <c r="L11" i="10"/>
  <c r="M10" i="11"/>
  <c r="T22" i="10"/>
  <c r="N33" i="10"/>
  <c r="P22" i="11"/>
  <c r="AA24" i="7"/>
  <c r="N11" i="10"/>
  <c r="P10" i="11"/>
  <c r="T10" i="10"/>
  <c r="V10" i="11"/>
  <c r="S11" i="10"/>
  <c r="H41" i="11"/>
  <c r="S33" i="10"/>
  <c r="V33" i="11" s="1"/>
  <c r="V22" i="11"/>
  <c r="W22" i="11" s="1"/>
  <c r="AK24" i="7"/>
  <c r="AK23" i="7" s="1"/>
  <c r="M10" i="10"/>
  <c r="H11" i="11" l="1"/>
  <c r="J18" i="7"/>
  <c r="J17" i="7" s="1"/>
  <c r="J10" i="11"/>
  <c r="O10" i="11" s="1"/>
  <c r="Q21" i="10"/>
  <c r="Q11" i="11"/>
  <c r="AC18" i="7"/>
  <c r="AC17" i="7" s="1"/>
  <c r="AC28" i="7" s="1"/>
  <c r="AC29" i="7" s="1"/>
  <c r="J22" i="11"/>
  <c r="AG18" i="7"/>
  <c r="AG17" i="7" s="1"/>
  <c r="AG35" i="7" s="1"/>
  <c r="N10" i="11"/>
  <c r="AQ40" i="7"/>
  <c r="AQ38" i="7"/>
  <c r="AR37" i="7"/>
  <c r="I21" i="10"/>
  <c r="I21" i="11" s="1"/>
  <c r="I11" i="11"/>
  <c r="J11" i="11" s="1"/>
  <c r="AI34" i="7"/>
  <c r="K21" i="10"/>
  <c r="K34" i="10" s="1"/>
  <c r="L34" i="11" s="1"/>
  <c r="J34" i="10"/>
  <c r="K34" i="11" s="1"/>
  <c r="L11" i="11"/>
  <c r="S57" i="11"/>
  <c r="X57" i="11" s="1"/>
  <c r="W57" i="11"/>
  <c r="L34" i="7"/>
  <c r="AM32" i="7"/>
  <c r="AC34" i="7"/>
  <c r="J33" i="11"/>
  <c r="W10" i="11"/>
  <c r="U57" i="10"/>
  <c r="AE34" i="7"/>
  <c r="J57" i="11"/>
  <c r="O57" i="11" s="1"/>
  <c r="J34" i="7"/>
  <c r="N57" i="11"/>
  <c r="T32" i="7"/>
  <c r="N34" i="7"/>
  <c r="N38" i="11"/>
  <c r="AO25" i="7"/>
  <c r="AQ25" i="7" s="1"/>
  <c r="AR25" i="7" s="1"/>
  <c r="J38" i="11"/>
  <c r="O38" i="11" s="1"/>
  <c r="AE18" i="7"/>
  <c r="AE17" i="7" s="1"/>
  <c r="AE35" i="7" s="1"/>
  <c r="G21" i="10"/>
  <c r="G21" i="11" s="1"/>
  <c r="P21" i="10"/>
  <c r="R21" i="11" s="1"/>
  <c r="H18" i="7"/>
  <c r="H17" i="7" s="1"/>
  <c r="H28" i="7" s="1"/>
  <c r="U22" i="10"/>
  <c r="K21" i="11"/>
  <c r="U11" i="11"/>
  <c r="N18" i="7"/>
  <c r="N17" i="7" s="1"/>
  <c r="N28" i="7" s="1"/>
  <c r="N29" i="7" s="1"/>
  <c r="AN28" i="7"/>
  <c r="AN29" i="7" s="1"/>
  <c r="AB29" i="7"/>
  <c r="AP17" i="7"/>
  <c r="AP35" i="7" s="1"/>
  <c r="U35" i="7"/>
  <c r="U28" i="7"/>
  <c r="I29" i="7"/>
  <c r="M11" i="10"/>
  <c r="W33" i="11"/>
  <c r="AI18" i="7"/>
  <c r="AI17" i="7" s="1"/>
  <c r="AI35" i="7" s="1"/>
  <c r="K11" i="11"/>
  <c r="T33" i="7"/>
  <c r="N41" i="11"/>
  <c r="O22" i="11"/>
  <c r="U38" i="10"/>
  <c r="M41" i="10"/>
  <c r="W41" i="11"/>
  <c r="N22" i="11"/>
  <c r="W7" i="8"/>
  <c r="O34" i="10"/>
  <c r="Q34" i="11" s="1"/>
  <c r="W38" i="11"/>
  <c r="U10" i="10"/>
  <c r="L28" i="7"/>
  <c r="L29" i="7" s="1"/>
  <c r="L35" i="7"/>
  <c r="H34" i="10"/>
  <c r="H34" i="11" s="1"/>
  <c r="H21" i="11"/>
  <c r="S10" i="11"/>
  <c r="X10" i="11" s="1"/>
  <c r="J28" i="7"/>
  <c r="J35" i="7"/>
  <c r="AA18" i="7"/>
  <c r="N21" i="10"/>
  <c r="P11" i="11"/>
  <c r="T11" i="10"/>
  <c r="P28" i="7"/>
  <c r="P29" i="7" s="1"/>
  <c r="P35" i="7"/>
  <c r="AA23" i="7"/>
  <c r="AM23" i="7" s="1"/>
  <c r="AM24" i="7"/>
  <c r="R34" i="10"/>
  <c r="U34" i="11" s="1"/>
  <c r="U21" i="11"/>
  <c r="T41" i="10"/>
  <c r="T52" i="10" s="1"/>
  <c r="P41" i="11"/>
  <c r="S21" i="10"/>
  <c r="V11" i="11"/>
  <c r="AK18" i="7"/>
  <c r="AK17" i="7" s="1"/>
  <c r="S22" i="11"/>
  <c r="X22" i="11" s="1"/>
  <c r="R23" i="7"/>
  <c r="T23" i="7" s="1"/>
  <c r="T24" i="7"/>
  <c r="P33" i="11"/>
  <c r="T33" i="10"/>
  <c r="M33" i="11"/>
  <c r="M33" i="10"/>
  <c r="AA34" i="7"/>
  <c r="AM33" i="7"/>
  <c r="T21" i="11"/>
  <c r="Q34" i="10"/>
  <c r="T34" i="11" s="1"/>
  <c r="R18" i="7"/>
  <c r="L21" i="10"/>
  <c r="M11" i="11"/>
  <c r="S38" i="11"/>
  <c r="X38" i="11" s="1"/>
  <c r="J41" i="11"/>
  <c r="O41" i="11" s="1"/>
  <c r="AG28" i="7" l="1"/>
  <c r="AG29" i="7" s="1"/>
  <c r="AC35" i="7"/>
  <c r="T34" i="7"/>
  <c r="I34" i="10"/>
  <c r="I34" i="11" s="1"/>
  <c r="AR40" i="7"/>
  <c r="AR38" i="7"/>
  <c r="L21" i="11"/>
  <c r="AM34" i="7"/>
  <c r="AO32" i="7"/>
  <c r="AQ32" i="7" s="1"/>
  <c r="AR32" i="7" s="1"/>
  <c r="Y57" i="11"/>
  <c r="N11" i="11"/>
  <c r="P34" i="10"/>
  <c r="R34" i="11" s="1"/>
  <c r="H35" i="7"/>
  <c r="AE28" i="7"/>
  <c r="AE29" i="7" s="1"/>
  <c r="AI28" i="7"/>
  <c r="AI29" i="7" s="1"/>
  <c r="G34" i="10"/>
  <c r="G34" i="11" s="1"/>
  <c r="N35" i="7"/>
  <c r="U11" i="10"/>
  <c r="W11" i="11"/>
  <c r="AO24" i="7"/>
  <c r="AQ24" i="7" s="1"/>
  <c r="AR24" i="7" s="1"/>
  <c r="AR23" i="7" s="1"/>
  <c r="AP28" i="7"/>
  <c r="AP29" i="7" s="1"/>
  <c r="U29" i="7"/>
  <c r="Y38" i="11"/>
  <c r="Y22" i="11"/>
  <c r="Y10" i="11"/>
  <c r="J21" i="11"/>
  <c r="U33" i="10"/>
  <c r="M21" i="11"/>
  <c r="L34" i="10"/>
  <c r="M34" i="11" s="1"/>
  <c r="N34" i="11" s="1"/>
  <c r="AK28" i="7"/>
  <c r="AK29" i="7" s="1"/>
  <c r="AK35" i="7"/>
  <c r="O11" i="11"/>
  <c r="O33" i="11"/>
  <c r="N33" i="11"/>
  <c r="H29" i="7"/>
  <c r="R17" i="7"/>
  <c r="T18" i="7"/>
  <c r="U41" i="10"/>
  <c r="U52" i="10" s="1"/>
  <c r="S33" i="11"/>
  <c r="X33" i="11" s="1"/>
  <c r="S11" i="11"/>
  <c r="X11" i="11" s="1"/>
  <c r="V21" i="11"/>
  <c r="W21" i="11" s="1"/>
  <c r="S34" i="10"/>
  <c r="V34" i="11" s="1"/>
  <c r="W34" i="11" s="1"/>
  <c r="P21" i="11"/>
  <c r="N34" i="10"/>
  <c r="T21" i="10"/>
  <c r="AM18" i="7"/>
  <c r="AA17" i="7"/>
  <c r="M21" i="10"/>
  <c r="AO23" i="7"/>
  <c r="S41" i="11"/>
  <c r="X41" i="11" s="1"/>
  <c r="J29" i="7"/>
  <c r="H51" i="7"/>
  <c r="AO33" i="7"/>
  <c r="J34" i="11" l="1"/>
  <c r="AQ23" i="7"/>
  <c r="AO18" i="7"/>
  <c r="AQ18" i="7" s="1"/>
  <c r="AR18" i="7" s="1"/>
  <c r="AR17" i="7" s="1"/>
  <c r="O21" i="11"/>
  <c r="X52" i="11"/>
  <c r="Y41" i="11"/>
  <c r="Y52" i="11" s="1"/>
  <c r="Y11" i="11"/>
  <c r="AA28" i="7"/>
  <c r="AM17" i="7"/>
  <c r="AM35" i="7" s="1"/>
  <c r="AA35" i="7"/>
  <c r="R35" i="7"/>
  <c r="R28" i="7"/>
  <c r="T17" i="7"/>
  <c r="AO34" i="7"/>
  <c r="AQ33" i="7"/>
  <c r="P34" i="11"/>
  <c r="T34" i="10"/>
  <c r="T56" i="10" s="1"/>
  <c r="O34" i="11"/>
  <c r="M34" i="10"/>
  <c r="U21" i="10"/>
  <c r="S21" i="11"/>
  <c r="X21" i="11" s="1"/>
  <c r="N21" i="11"/>
  <c r="Y33" i="11"/>
  <c r="Y21" i="11" l="1"/>
  <c r="AQ17" i="7"/>
  <c r="AQ28" i="7" s="1"/>
  <c r="AQ29" i="7" s="1"/>
  <c r="AM28" i="7"/>
  <c r="AM29" i="7" s="1"/>
  <c r="AA29" i="7"/>
  <c r="X34" i="11"/>
  <c r="X56" i="11" s="1"/>
  <c r="S34" i="11"/>
  <c r="AQ34" i="7"/>
  <c r="AR33" i="7"/>
  <c r="AR34" i="7" s="1"/>
  <c r="T35" i="7"/>
  <c r="AO17" i="7"/>
  <c r="AO35" i="7" s="1"/>
  <c r="R29" i="7"/>
  <c r="T28" i="7"/>
  <c r="AR28" i="7"/>
  <c r="AR29" i="7" s="1"/>
  <c r="U34" i="10"/>
  <c r="U56" i="10" s="1"/>
  <c r="AQ35" i="7" l="1"/>
  <c r="AR35" i="7"/>
  <c r="AR30" i="7"/>
  <c r="T29" i="7"/>
  <c r="AO28" i="7"/>
  <c r="AO29" i="7" s="1"/>
  <c r="Y34" i="11"/>
  <c r="Y56" i="11" s="1"/>
  <c r="AQ30" i="7" l="1"/>
  <c r="AO30" i="7"/>
</calcChain>
</file>

<file path=xl/sharedStrings.xml><?xml version="1.0" encoding="utf-8"?>
<sst xmlns="http://schemas.openxmlformats.org/spreadsheetml/2006/main" count="515" uniqueCount="212">
  <si>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</si>
  <si>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</si>
  <si>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</si>
  <si>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</si>
  <si>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</si>
  <si>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</si>
  <si>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</si>
  <si>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</si>
  <si>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</si>
  <si>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</si>
  <si>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</si>
  <si>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</si>
  <si>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</si>
  <si>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</si>
  <si>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</si>
  <si>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</si>
  <si>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</si>
  <si>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</si>
  <si>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</si>
  <si>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</si>
  <si>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</si>
  <si>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</si>
  <si>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</si>
  <si>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</si>
  <si>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</si>
  <si>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</si>
  <si>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</si>
  <si>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</si>
  <si>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</si>
  <si>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</si>
  <si>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</si>
  <si>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</si>
  <si>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</si>
  <si>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</si>
  <si>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</si>
  <si>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</si>
  <si>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</si>
  <si>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</si>
  <si>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</si>
  <si>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</si>
  <si>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</si>
  <si>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</si>
  <si>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</si>
  <si>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</si>
  <si>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</si>
  <si>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</si>
  <si>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</si>
  <si>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</si>
  <si>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</si>
  <si>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</si>
  <si>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</si>
  <si>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</si>
  <si>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</si>
  <si>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</si>
  <si>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</si>
  <si>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</si>
  <si>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</si>
  <si>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</si>
  <si>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</si>
  <si>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</si>
  <si>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</si>
  <si>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</si>
  <si>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</si>
  <si>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</si>
  <si>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</si>
  <si>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</si>
  <si>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</si>
  <si>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</si>
  <si>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</si>
  <si>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</si>
  <si>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</si>
  <si>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</si>
  <si>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</si>
  <si>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</si>
  <si>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</si>
  <si>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</si>
  <si>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</si>
  <si>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</si>
  <si>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</si>
  <si>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</si>
  <si>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</si>
  <si>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</si>
  <si>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</si>
  <si>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</si>
  <si>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</si>
  <si>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</si>
  <si>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</si>
  <si>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</si>
  <si>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</si>
  <si>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</si>
  <si>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</si>
  <si>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</si>
  <si>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</si>
  <si>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</si>
  <si>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</si>
  <si>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</si>
  <si>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</si>
  <si>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</si>
  <si>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</si>
  <si>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</si>
  <si>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</si>
  <si>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</si>
  <si>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</si>
  <si>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</si>
  <si>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</si>
  <si>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</si>
  <si>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</si>
  <si>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</si>
  <si>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</si>
  <si>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</si>
  <si>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</si>
  <si>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</si>
  <si>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</si>
  <si>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</si>
  <si>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</si>
  <si>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</si>
  <si>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</si>
  <si>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</si>
  <si>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</si>
  <si>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</si>
  <si>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</si>
  <si>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</si>
  <si>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</si>
  <si>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</si>
  <si>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</si>
  <si>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</si>
  <si>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</si>
  <si>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</si>
  <si>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</si>
  <si>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</si>
  <si>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</si>
  <si>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</si>
  <si>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</si>
  <si>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</si>
  <si>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</si>
  <si>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</si>
  <si>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</si>
  <si>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</si>
  <si>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</si>
  <si>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</si>
  <si>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</si>
  <si>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</si>
  <si>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</si>
  <si>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</si>
  <si>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</si>
  <si>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</si>
  <si>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</si>
  <si>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</si>
  <si>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</si>
  <si>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</si>
  <si>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</si>
  <si>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</si>
  <si>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</si>
  <si>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</si>
  <si>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</si>
  <si>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</si>
  <si>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</si>
  <si>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</si>
  <si>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</si>
  <si>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</si>
  <si>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</si>
  <si>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</si>
  <si>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</si>
  <si>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</si>
  <si>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</si>
  <si>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</si>
  <si>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</si>
  <si>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</si>
  <si>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</si>
  <si>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</si>
  <si>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</si>
  <si>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ALKALINE</t>
  </si>
  <si>
    <t>1Q</t>
  </si>
  <si>
    <t>Result</t>
  </si>
  <si>
    <t>2Q</t>
  </si>
  <si>
    <t>3Q</t>
  </si>
  <si>
    <t>4Q</t>
  </si>
  <si>
    <t>Planejado</t>
  </si>
  <si>
    <t>Realizado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</si>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</sst>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#,##0.000"/>
    <numFmt numFmtId="174" formatCode="0.000\ &quot;ppm&quot;"/>
    <numFmt numFmtId="175" formatCode="#,##0.000,"/>
    <numFmt numFmtId="176" formatCode=";;;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5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2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9" fillId="0" borderId="33" xfId="7" applyNumberFormat="1" applyFont="1" applyBorder="1" applyAlignment="1">
      <alignment horizontal="right" vertical="center"/>
    </xf>
    <xf numFmtId="0" fontId="6" fillId="0" borderId="34" xfId="9" applyFont="1" applyBorder="1" applyAlignment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  <protection locked="0"/>
    </xf>
    <xf numFmtId="165" fontId="19" fillId="0" borderId="36" xfId="7" applyNumberFormat="1" applyFont="1" applyBorder="1" applyAlignment="1">
      <alignment horizontal="right" vertical="center"/>
    </xf>
    <xf numFmtId="0" fontId="6" fillId="0" borderId="37" xfId="9" applyFont="1" applyBorder="1" applyAlignment="1">
      <alignment horizontal="right" vertical="center"/>
    </xf>
    <xf numFmtId="165" fontId="19" fillId="0" borderId="38" xfId="7" applyNumberFormat="1" applyFont="1" applyBorder="1" applyAlignment="1">
      <alignment horizontal="right" vertical="center"/>
    </xf>
    <xf numFmtId="165" fontId="19" fillId="0" borderId="39" xfId="7" applyNumberFormat="1" applyFont="1" applyBorder="1" applyAlignment="1">
      <alignment horizontal="right" vertical="center"/>
    </xf>
    <xf numFmtId="165" fontId="19" fillId="0" borderId="40" xfId="7" applyNumberFormat="1" applyFont="1" applyBorder="1" applyAlignment="1">
      <alignment horizontal="right" vertical="center"/>
    </xf>
    <xf numFmtId="165" fontId="19" fillId="0" borderId="41" xfId="7" applyNumberFormat="1" applyFont="1" applyBorder="1" applyAlignment="1">
      <alignment horizontal="right" vertical="center"/>
    </xf>
    <xf numFmtId="165" fontId="19" fillId="0" borderId="42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3" xfId="9" applyFont="1" applyBorder="1">
      <alignment vertical="center"/>
    </xf>
    <xf numFmtId="171" fontId="13" fillId="3" borderId="44" xfId="7" applyNumberFormat="1" applyFont="1" applyFill="1" applyBorder="1" applyProtection="1">
      <alignment vertical="center"/>
      <protection locked="0"/>
    </xf>
    <xf numFmtId="171" fontId="13" fillId="3" borderId="45" xfId="7" applyNumberFormat="1" applyFont="1" applyFill="1" applyBorder="1" applyProtection="1">
      <alignment vertical="center"/>
      <protection locked="0"/>
    </xf>
    <xf numFmtId="171" fontId="13" fillId="3" borderId="46" xfId="7" applyNumberFormat="1" applyFont="1" applyFill="1" applyBorder="1" applyProtection="1">
      <alignment vertical="center"/>
      <protection locked="0"/>
    </xf>
    <xf numFmtId="171" fontId="16" fillId="0" borderId="47" xfId="7" applyNumberFormat="1" applyFont="1" applyBorder="1" applyAlignment="1">
      <alignment horizontal="right" vertical="center"/>
    </xf>
    <xf numFmtId="171" fontId="13" fillId="3" borderId="48" xfId="7" applyNumberFormat="1" applyFont="1" applyFill="1" applyBorder="1" applyProtection="1">
      <alignment vertical="center"/>
      <protection locked="0"/>
    </xf>
    <xf numFmtId="170" fontId="13" fillId="1" borderId="38" xfId="7" applyNumberFormat="1" applyFont="1" applyFill="1" applyBorder="1">
      <alignment vertical="center"/>
    </xf>
    <xf numFmtId="170" fontId="13" fillId="1" borderId="39" xfId="7" applyNumberFormat="1" applyFont="1" applyFill="1" applyBorder="1">
      <alignment vertical="center"/>
    </xf>
    <xf numFmtId="170" fontId="13" fillId="1" borderId="40" xfId="7" applyNumberFormat="1" applyFont="1" applyFill="1" applyBorder="1">
      <alignment vertical="center"/>
    </xf>
    <xf numFmtId="171" fontId="16" fillId="1" borderId="41" xfId="7" applyNumberFormat="1" applyFont="1" applyFill="1" applyBorder="1" applyAlignment="1">
      <alignment horizontal="right" vertical="center"/>
    </xf>
    <xf numFmtId="171" fontId="13" fillId="1" borderId="38" xfId="7" applyNumberFormat="1" applyFont="1" applyFill="1" applyBorder="1">
      <alignment vertical="center"/>
    </xf>
    <xf numFmtId="171" fontId="13" fillId="1" borderId="39" xfId="7" applyNumberFormat="1" applyFont="1" applyFill="1" applyBorder="1">
      <alignment vertical="center"/>
    </xf>
    <xf numFmtId="171" fontId="13" fillId="1" borderId="42" xfId="7" applyNumberFormat="1" applyFont="1" applyFill="1" applyBorder="1">
      <alignment vertical="center"/>
    </xf>
    <xf numFmtId="171" fontId="13" fillId="1" borderId="40" xfId="7" applyNumberFormat="1" applyFont="1" applyFill="1" applyBorder="1">
      <alignment vertical="center"/>
    </xf>
    <xf numFmtId="170" fontId="13" fillId="1" borderId="49" xfId="7" applyNumberFormat="1" applyFont="1" applyFill="1" applyBorder="1">
      <alignment vertical="center"/>
    </xf>
    <xf numFmtId="170" fontId="13" fillId="1" borderId="50" xfId="7" applyNumberFormat="1" applyFont="1" applyFill="1" applyBorder="1">
      <alignment vertical="center"/>
    </xf>
    <xf numFmtId="170" fontId="13" fillId="1" borderId="51" xfId="7" applyNumberFormat="1" applyFont="1" applyFill="1" applyBorder="1">
      <alignment vertical="center"/>
    </xf>
    <xf numFmtId="171" fontId="16" fillId="1" borderId="52" xfId="7" applyNumberFormat="1" applyFont="1" applyFill="1" applyBorder="1" applyAlignment="1">
      <alignment horizontal="right" vertical="center"/>
    </xf>
    <xf numFmtId="171" fontId="13" fillId="1" borderId="49" xfId="7" applyNumberFormat="1" applyFont="1" applyFill="1" applyBorder="1">
      <alignment vertical="center"/>
    </xf>
    <xf numFmtId="171" fontId="13" fillId="1" borderId="50" xfId="7" applyNumberFormat="1" applyFont="1" applyFill="1" applyBorder="1">
      <alignment vertical="center"/>
    </xf>
    <xf numFmtId="171" fontId="13" fillId="1" borderId="53" xfId="7" applyNumberFormat="1" applyFont="1" applyFill="1" applyBorder="1">
      <alignment vertical="center"/>
    </xf>
    <xf numFmtId="171" fontId="13" fillId="1" borderId="51" xfId="7" applyNumberFormat="1" applyFont="1" applyFill="1" applyBorder="1">
      <alignment vertical="center"/>
    </xf>
    <xf numFmtId="0" fontId="6" fillId="0" borderId="54" xfId="9" applyFont="1" applyBorder="1">
      <alignment vertical="center"/>
    </xf>
    <xf numFmtId="171" fontId="12" fillId="3" borderId="35" xfId="7" applyNumberFormat="1" applyFont="1" applyFill="1" applyBorder="1" applyProtection="1">
      <alignment vertical="center"/>
      <protection locked="0"/>
    </xf>
    <xf numFmtId="171" fontId="12" fillId="3" borderId="55" xfId="7" applyNumberFormat="1" applyFont="1" applyFill="1" applyBorder="1" applyProtection="1">
      <alignment vertical="center"/>
      <protection locked="0"/>
    </xf>
    <xf numFmtId="171" fontId="12" fillId="3" borderId="56" xfId="7" applyNumberFormat="1" applyFont="1" applyFill="1" applyBorder="1" applyProtection="1">
      <alignment vertical="center"/>
      <protection locked="0"/>
    </xf>
    <xf numFmtId="171" fontId="16" fillId="0" borderId="36" xfId="7" applyNumberFormat="1" applyFont="1" applyBorder="1" applyAlignment="1">
      <alignment horizontal="right" vertical="center"/>
    </xf>
    <xf numFmtId="171" fontId="12" fillId="3" borderId="57" xfId="7" applyNumberFormat="1" applyFont="1" applyFill="1" applyBorder="1" applyProtection="1">
      <alignment vertical="center"/>
      <protection locked="0"/>
    </xf>
    <xf numFmtId="0" fontId="6" fillId="0" borderId="58" xfId="9" applyFont="1" applyBorder="1">
      <alignment vertical="center"/>
    </xf>
    <xf numFmtId="171" fontId="20" fillId="0" borderId="38" xfId="7" applyNumberFormat="1" applyFont="1" applyBorder="1">
      <alignment vertical="center"/>
    </xf>
    <xf numFmtId="171" fontId="20" fillId="0" borderId="39" xfId="7" applyNumberFormat="1" applyFont="1" applyBorder="1">
      <alignment vertical="center"/>
    </xf>
    <xf numFmtId="171" fontId="20" fillId="0" borderId="40" xfId="7" applyNumberFormat="1" applyFont="1" applyBorder="1">
      <alignment vertical="center"/>
    </xf>
    <xf numFmtId="171" fontId="16" fillId="0" borderId="41" xfId="7" applyNumberFormat="1" applyFont="1" applyBorder="1" applyAlignment="1">
      <alignment horizontal="right" vertical="center"/>
    </xf>
    <xf numFmtId="171" fontId="12" fillId="3" borderId="59" xfId="7" applyNumberFormat="1" applyFont="1" applyFill="1" applyBorder="1" applyProtection="1">
      <alignment vertical="center"/>
      <protection locked="0"/>
    </xf>
    <xf numFmtId="171" fontId="12" fillId="3" borderId="60" xfId="7" applyNumberFormat="1" applyFont="1" applyFill="1" applyBorder="1" applyProtection="1">
      <alignment vertical="center"/>
      <protection locked="0"/>
    </xf>
    <xf numFmtId="171" fontId="12" fillId="3" borderId="61" xfId="7" applyNumberFormat="1" applyFont="1" applyFill="1" applyBorder="1" applyProtection="1">
      <alignment vertical="center"/>
      <protection locked="0"/>
    </xf>
    <xf numFmtId="171" fontId="20" fillId="0" borderId="62" xfId="7" applyNumberFormat="1" applyFont="1" applyBorder="1" applyAlignment="1">
      <alignment horizontal="right" vertical="center"/>
    </xf>
    <xf numFmtId="171" fontId="12" fillId="3" borderId="63" xfId="7" applyNumberFormat="1" applyFont="1" applyFill="1" applyBorder="1" applyProtection="1">
      <alignment vertical="center"/>
      <protection locked="0"/>
    </xf>
    <xf numFmtId="171" fontId="12" fillId="3" borderId="50" xfId="7" applyNumberFormat="1" applyFont="1" applyFill="1" applyBorder="1" applyProtection="1">
      <alignment vertical="center"/>
      <protection locked="0"/>
    </xf>
    <xf numFmtId="171" fontId="12" fillId="3" borderId="51" xfId="7" applyNumberFormat="1" applyFont="1" applyFill="1" applyBorder="1" applyProtection="1">
      <alignment vertical="center"/>
      <protection locked="0"/>
    </xf>
    <xf numFmtId="171" fontId="20" fillId="0" borderId="52" xfId="7" applyNumberFormat="1" applyFont="1" applyBorder="1" applyAlignment="1">
      <alignment horizontal="right" vertical="center"/>
    </xf>
    <xf numFmtId="171" fontId="12" fillId="3" borderId="49" xfId="7" applyNumberFormat="1" applyFont="1" applyFill="1" applyBorder="1" applyProtection="1">
      <alignment vertical="center"/>
      <protection locked="0"/>
    </xf>
    <xf numFmtId="171" fontId="12" fillId="3" borderId="53" xfId="7" applyNumberFormat="1" applyFont="1" applyFill="1" applyBorder="1" applyProtection="1">
      <alignment vertical="center"/>
      <protection locked="0"/>
    </xf>
    <xf numFmtId="0" fontId="6" fillId="0" borderId="64" xfId="9" applyFont="1" applyBorder="1">
      <alignment vertical="center"/>
    </xf>
    <xf numFmtId="171" fontId="12" fillId="1" borderId="49" xfId="7" applyNumberFormat="1" applyFont="1" applyFill="1" applyBorder="1">
      <alignment vertical="center"/>
    </xf>
    <xf numFmtId="171" fontId="12" fillId="1" borderId="50" xfId="7" applyNumberFormat="1" applyFont="1" applyFill="1" applyBorder="1">
      <alignment vertical="center"/>
    </xf>
    <xf numFmtId="171" fontId="12" fillId="1" borderId="51" xfId="7" applyNumberFormat="1" applyFont="1" applyFill="1" applyBorder="1">
      <alignment vertical="center"/>
    </xf>
    <xf numFmtId="171" fontId="20" fillId="1" borderId="52" xfId="7" applyNumberFormat="1" applyFont="1" applyFill="1" applyBorder="1" applyAlignment="1">
      <alignment horizontal="right" vertical="center"/>
    </xf>
    <xf numFmtId="171" fontId="12" fillId="1" borderId="53" xfId="7" applyNumberFormat="1" applyFont="1" applyFill="1" applyBorder="1">
      <alignment vertical="center"/>
    </xf>
    <xf numFmtId="171" fontId="20" fillId="0" borderId="36" xfId="7" applyNumberFormat="1" applyFont="1" applyBorder="1" applyAlignment="1">
      <alignment horizontal="right" vertical="center"/>
    </xf>
    <xf numFmtId="171" fontId="20" fillId="0" borderId="35" xfId="7" applyNumberFormat="1" applyFont="1" applyBorder="1">
      <alignment vertical="center"/>
    </xf>
    <xf numFmtId="171" fontId="20" fillId="0" borderId="55" xfId="7" applyNumberFormat="1" applyFont="1" applyBorder="1">
      <alignment vertical="center"/>
    </xf>
    <xf numFmtId="171" fontId="20" fillId="0" borderId="56" xfId="7" applyNumberFormat="1" applyFont="1" applyBorder="1">
      <alignment vertical="center"/>
    </xf>
    <xf numFmtId="171" fontId="20" fillId="0" borderId="57" xfId="7" applyNumberFormat="1" applyFont="1" applyBorder="1">
      <alignment vertical="center"/>
    </xf>
    <xf numFmtId="0" fontId="6" fillId="0" borderId="65" xfId="9" applyFont="1" applyBorder="1">
      <alignment vertical="center"/>
    </xf>
    <xf numFmtId="171" fontId="19" fillId="3" borderId="66" xfId="7" applyNumberFormat="1" applyFont="1" applyFill="1" applyBorder="1" applyProtection="1">
      <alignment vertical="center"/>
      <protection locked="0"/>
    </xf>
    <xf numFmtId="171" fontId="19" fillId="3" borderId="67" xfId="7" applyNumberFormat="1" applyFont="1" applyFill="1" applyBorder="1" applyProtection="1">
      <alignment vertical="center"/>
      <protection locked="0"/>
    </xf>
    <xf numFmtId="171" fontId="19" fillId="3" borderId="68" xfId="7" applyNumberFormat="1" applyFont="1" applyFill="1" applyBorder="1" applyProtection="1">
      <alignment vertical="center"/>
      <protection locked="0"/>
    </xf>
    <xf numFmtId="171" fontId="20" fillId="0" borderId="69" xfId="7" applyNumberFormat="1" applyFont="1" applyBorder="1" applyAlignment="1">
      <alignment horizontal="right" vertical="center"/>
    </xf>
    <xf numFmtId="171" fontId="19" fillId="3" borderId="70" xfId="7" applyNumberFormat="1" applyFont="1" applyFill="1" applyBorder="1" applyProtection="1">
      <alignment vertical="center"/>
      <protection locked="0"/>
    </xf>
    <xf numFmtId="0" fontId="6" fillId="0" borderId="34" xfId="9" applyFont="1" applyBorder="1">
      <alignment vertical="center"/>
    </xf>
    <xf numFmtId="172" fontId="20" fillId="0" borderId="71" xfId="7" applyNumberFormat="1" applyFont="1" applyBorder="1">
      <alignment vertical="center"/>
    </xf>
    <xf numFmtId="171" fontId="20" fillId="0" borderId="72" xfId="7" applyNumberFormat="1" applyFont="1" applyBorder="1">
      <alignment vertical="center"/>
    </xf>
    <xf numFmtId="171" fontId="20" fillId="0" borderId="73" xfId="7" applyNumberFormat="1" applyFont="1" applyBorder="1">
      <alignment vertical="center"/>
    </xf>
    <xf numFmtId="171" fontId="16" fillId="0" borderId="74" xfId="7" applyNumberFormat="1" applyFont="1" applyBorder="1" applyAlignment="1">
      <alignment horizontal="right" vertical="center"/>
    </xf>
    <xf numFmtId="171" fontId="20" fillId="0" borderId="71" xfId="7" applyNumberFormat="1" applyFont="1" applyBorder="1">
      <alignment vertical="center"/>
    </xf>
    <xf numFmtId="0" fontId="6" fillId="0" borderId="76" xfId="9" applyFont="1" applyBorder="1">
      <alignment vertical="center"/>
    </xf>
    <xf numFmtId="171" fontId="20" fillId="3" borderId="77" xfId="7" applyNumberFormat="1" applyFont="1" applyFill="1" applyBorder="1" applyProtection="1">
      <alignment vertical="center"/>
      <protection locked="0"/>
    </xf>
    <xf numFmtId="171" fontId="20" fillId="3" borderId="78" xfId="7" applyNumberFormat="1" applyFont="1" applyFill="1" applyBorder="1" applyProtection="1">
      <alignment vertical="center"/>
      <protection locked="0"/>
    </xf>
    <xf numFmtId="171" fontId="20" fillId="3" borderId="79" xfId="7" applyNumberFormat="1" applyFont="1" applyFill="1" applyBorder="1" applyProtection="1">
      <alignment vertical="center"/>
      <protection locked="0"/>
    </xf>
    <xf numFmtId="171" fontId="16" fillId="0" borderId="80" xfId="7" applyNumberFormat="1" applyFont="1" applyBorder="1" applyAlignment="1">
      <alignment horizontal="right" vertical="center"/>
    </xf>
    <xf numFmtId="171" fontId="20" fillId="3" borderId="81" xfId="7" applyNumberFormat="1" applyFont="1" applyFill="1" applyBorder="1" applyProtection="1">
      <alignment vertical="center"/>
      <protection locked="0"/>
    </xf>
    <xf numFmtId="171" fontId="6" fillId="0" borderId="54" xfId="9" applyNumberFormat="1" applyFont="1" applyBorder="1">
      <alignment vertical="center"/>
    </xf>
    <xf numFmtId="171" fontId="6" fillId="0" borderId="64" xfId="9" applyNumberFormat="1" applyFont="1" applyBorder="1">
      <alignment vertical="center"/>
    </xf>
    <xf numFmtId="171" fontId="20" fillId="0" borderId="82" xfId="7" applyNumberFormat="1" applyFont="1" applyBorder="1" applyAlignment="1">
      <alignment horizontal="right" vertical="center"/>
    </xf>
    <xf numFmtId="171" fontId="20" fillId="3" borderId="35" xfId="7" applyNumberFormat="1" applyFont="1" applyFill="1" applyBorder="1" applyProtection="1">
      <alignment vertical="center"/>
      <protection locked="0"/>
    </xf>
    <xf numFmtId="171" fontId="20" fillId="3" borderId="55" xfId="7" applyNumberFormat="1" applyFont="1" applyFill="1" applyBorder="1" applyProtection="1">
      <alignment vertical="center"/>
      <protection locked="0"/>
    </xf>
    <xf numFmtId="171" fontId="20" fillId="3" borderId="56" xfId="7" applyNumberFormat="1" applyFont="1" applyFill="1" applyBorder="1" applyProtection="1">
      <alignment vertical="center"/>
      <protection locked="0"/>
    </xf>
    <xf numFmtId="171" fontId="16" fillId="0" borderId="83" xfId="7" applyNumberFormat="1" applyFont="1" applyBorder="1">
      <alignment vertical="center"/>
    </xf>
    <xf numFmtId="171" fontId="16" fillId="0" borderId="84" xfId="7" applyNumberFormat="1" applyFont="1" applyBorder="1" applyAlignment="1">
      <alignment horizontal="right" vertical="center"/>
    </xf>
    <xf numFmtId="0" fontId="13" fillId="1" borderId="85" xfId="10" applyFont="1" applyFill="1" applyBorder="1">
      <alignment vertical="center"/>
    </xf>
    <xf numFmtId="0" fontId="13" fillId="1" borderId="86" xfId="10" applyFont="1" applyFill="1" applyBorder="1">
      <alignment vertical="center"/>
    </xf>
    <xf numFmtId="0" fontId="13" fillId="1" borderId="87" xfId="10" applyFont="1" applyFill="1" applyBorder="1">
      <alignment vertical="center"/>
    </xf>
    <xf numFmtId="171" fontId="13" fillId="1" borderId="88" xfId="10" applyNumberFormat="1" applyFont="1" applyFill="1" applyBorder="1">
      <alignment vertical="center"/>
    </xf>
    <xf numFmtId="0" fontId="13" fillId="1" borderId="89" xfId="10" applyFont="1" applyFill="1" applyBorder="1">
      <alignment vertical="center"/>
    </xf>
    <xf numFmtId="0" fontId="6" fillId="0" borderId="64" xfId="10" applyFont="1" applyBorder="1">
      <alignment vertical="center"/>
    </xf>
    <xf numFmtId="0" fontId="13" fillId="1" borderId="49" xfId="7" applyFont="1" applyFill="1" applyBorder="1">
      <alignment vertical="center"/>
    </xf>
    <xf numFmtId="0" fontId="13" fillId="1" borderId="50" xfId="7" applyFont="1" applyFill="1" applyBorder="1">
      <alignment vertical="center"/>
    </xf>
    <xf numFmtId="0" fontId="13" fillId="1" borderId="51" xfId="7" applyFont="1" applyFill="1" applyBorder="1">
      <alignment vertical="center"/>
    </xf>
    <xf numFmtId="171" fontId="13" fillId="1" borderId="52" xfId="7" applyNumberFormat="1" applyFont="1" applyFill="1" applyBorder="1">
      <alignment vertical="center"/>
    </xf>
    <xf numFmtId="0" fontId="13" fillId="1" borderId="53" xfId="7" applyFont="1" applyFill="1" applyBorder="1">
      <alignment vertical="center"/>
    </xf>
    <xf numFmtId="171" fontId="13" fillId="3" borderId="49" xfId="7" applyNumberFormat="1" applyFont="1" applyFill="1" applyBorder="1" applyProtection="1">
      <alignment vertical="center"/>
      <protection locked="0"/>
    </xf>
    <xf numFmtId="171" fontId="13" fillId="0" borderId="52" xfId="7" applyNumberFormat="1" applyFont="1" applyBorder="1">
      <alignment vertical="center"/>
    </xf>
    <xf numFmtId="0" fontId="6" fillId="0" borderId="54" xfId="10" applyFont="1" applyBorder="1">
      <alignment vertical="center"/>
    </xf>
    <xf numFmtId="0" fontId="13" fillId="3" borderId="90" xfId="7" applyFont="1" applyFill="1" applyBorder="1" applyProtection="1">
      <alignment vertical="center"/>
      <protection locked="0"/>
    </xf>
    <xf numFmtId="0" fontId="13" fillId="3" borderId="91" xfId="7" applyFont="1" applyFill="1" applyBorder="1" applyProtection="1">
      <alignment vertical="center"/>
      <protection locked="0"/>
    </xf>
    <xf numFmtId="0" fontId="13" fillId="3" borderId="92" xfId="7" applyFont="1" applyFill="1" applyBorder="1" applyProtection="1">
      <alignment vertical="center"/>
      <protection locked="0"/>
    </xf>
    <xf numFmtId="171" fontId="13" fillId="0" borderId="82" xfId="7" applyNumberFormat="1" applyFont="1" applyBorder="1">
      <alignment vertical="center"/>
    </xf>
    <xf numFmtId="0" fontId="13" fillId="3" borderId="93" xfId="7" applyFont="1" applyFill="1" applyBorder="1" applyProtection="1">
      <alignment vertical="center"/>
      <protection locked="0"/>
    </xf>
    <xf numFmtId="0" fontId="6" fillId="0" borderId="58" xfId="10" applyFont="1" applyBorder="1">
      <alignment vertical="center"/>
    </xf>
    <xf numFmtId="171" fontId="16" fillId="0" borderId="35" xfId="7" applyNumberFormat="1" applyFont="1" applyBorder="1">
      <alignment vertical="center"/>
    </xf>
    <xf numFmtId="171" fontId="16" fillId="0" borderId="36" xfId="7" applyNumberFormat="1" applyFont="1" applyBorder="1">
      <alignment vertical="center"/>
    </xf>
    <xf numFmtId="0" fontId="13" fillId="0" borderId="66" xfId="7" applyFont="1" applyBorder="1" applyProtection="1">
      <alignment vertical="center"/>
      <protection locked="0"/>
    </xf>
    <xf numFmtId="0" fontId="13" fillId="0" borderId="67" xfId="7" applyFont="1" applyBorder="1" applyProtection="1">
      <alignment vertical="center"/>
      <protection locked="0"/>
    </xf>
    <xf numFmtId="0" fontId="13" fillId="0" borderId="68" xfId="7" applyFont="1" applyBorder="1" applyProtection="1">
      <alignment vertical="center"/>
      <protection locked="0"/>
    </xf>
    <xf numFmtId="0" fontId="13" fillId="0" borderId="94" xfId="7" applyFont="1" applyBorder="1" applyProtection="1">
      <alignment vertical="center"/>
      <protection locked="0"/>
    </xf>
    <xf numFmtId="0" fontId="13" fillId="0" borderId="36" xfId="7" applyFont="1" applyBorder="1" applyProtection="1">
      <alignment vertical="center"/>
      <protection locked="0"/>
    </xf>
    <xf numFmtId="0" fontId="13" fillId="0" borderId="70" xfId="7" applyFont="1" applyBorder="1" applyProtection="1">
      <alignment vertical="center"/>
      <protection locked="0"/>
    </xf>
    <xf numFmtId="0" fontId="13" fillId="0" borderId="69" xfId="7" applyFont="1" applyBorder="1" applyProtection="1">
      <alignment vertical="center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39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52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13" fillId="0" borderId="41" xfId="10" applyFont="1" applyBorder="1" applyProtection="1">
      <alignment vertical="center"/>
      <protection locked="0"/>
    </xf>
    <xf numFmtId="0" fontId="13" fillId="0" borderId="49" xfId="7" applyFont="1" applyBorder="1" applyProtection="1">
      <alignment vertical="center"/>
      <protection locked="0"/>
    </xf>
    <xf numFmtId="0" fontId="13" fillId="0" borderId="50" xfId="7" applyFont="1" applyBorder="1" applyProtection="1">
      <alignment vertical="center"/>
      <protection locked="0"/>
    </xf>
    <xf numFmtId="0" fontId="13" fillId="0" borderId="51" xfId="7" applyFont="1" applyBorder="1" applyProtection="1">
      <alignment vertical="center"/>
      <protection locked="0"/>
    </xf>
    <xf numFmtId="0" fontId="13" fillId="0" borderId="53" xfId="7" applyFont="1" applyBorder="1" applyProtection="1">
      <alignment vertical="center"/>
      <protection locked="0"/>
    </xf>
    <xf numFmtId="0" fontId="13" fillId="0" borderId="82" xfId="7" applyFont="1" applyBorder="1" applyProtection="1">
      <alignment vertical="center"/>
      <protection locked="0"/>
    </xf>
    <xf numFmtId="0" fontId="13" fillId="0" borderId="71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74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5" xfId="7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6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66" xfId="10" applyFont="1" applyBorder="1" applyProtection="1">
      <alignment vertical="center"/>
      <protection locked="0"/>
    </xf>
    <xf numFmtId="0" fontId="13" fillId="0" borderId="67" xfId="10" applyFont="1" applyBorder="1" applyProtection="1">
      <alignment vertical="center"/>
      <protection locked="0"/>
    </xf>
    <xf numFmtId="0" fontId="13" fillId="0" borderId="68" xfId="10" applyFont="1" applyBorder="1" applyProtection="1">
      <alignment vertical="center"/>
      <protection locked="0"/>
    </xf>
    <xf numFmtId="0" fontId="13" fillId="0" borderId="69" xfId="10" applyFont="1" applyBorder="1" applyProtection="1">
      <alignment vertical="center"/>
      <protection locked="0"/>
    </xf>
    <xf numFmtId="0" fontId="13" fillId="0" borderId="70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95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96" xfId="10" applyFont="1" applyBorder="1" applyProtection="1">
      <alignment vertical="center"/>
      <protection locked="0"/>
    </xf>
    <xf numFmtId="0" fontId="13" fillId="0" borderId="97" xfId="10" applyFont="1" applyBorder="1" applyProtection="1">
      <alignment vertical="center"/>
      <protection locked="0"/>
    </xf>
    <xf numFmtId="0" fontId="13" fillId="0" borderId="98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99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55" xfId="10" applyFont="1" applyBorder="1" applyProtection="1">
      <alignment vertical="center"/>
      <protection locked="0"/>
    </xf>
    <xf numFmtId="0" fontId="13" fillId="0" borderId="56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35" xfId="10" applyFont="1" applyBorder="1" applyProtection="1">
      <alignment vertical="center"/>
      <protection locked="0"/>
    </xf>
    <xf numFmtId="0" fontId="13" fillId="0" borderId="57" xfId="10" applyFont="1" applyBorder="1" applyProtection="1">
      <alignment vertical="center"/>
      <protection locked="0"/>
    </xf>
    <xf numFmtId="0" fontId="13" fillId="0" borderId="83" xfId="10" applyFont="1" applyBorder="1" applyProtection="1">
      <alignment vertical="center"/>
      <protection locked="0"/>
    </xf>
    <xf numFmtId="0" fontId="13" fillId="0" borderId="101" xfId="10" applyFont="1" applyBorder="1" applyProtection="1">
      <alignment vertical="center"/>
      <protection locked="0"/>
    </xf>
    <xf numFmtId="0" fontId="13" fillId="0" borderId="102" xfId="10" applyFont="1" applyBorder="1" applyProtection="1">
      <alignment vertical="center"/>
      <protection locked="0"/>
    </xf>
    <xf numFmtId="0" fontId="13" fillId="0" borderId="84" xfId="10" applyFont="1" applyBorder="1" applyProtection="1">
      <alignment vertical="center"/>
      <protection locked="0"/>
    </xf>
    <xf numFmtId="0" fontId="13" fillId="0" borderId="103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0" fontId="13" fillId="4" borderId="83" xfId="7" applyNumberFormat="1" applyFont="1" applyFill="1" applyBorder="1" applyProtection="1">
      <alignment vertical="center"/>
      <protection locked="0"/>
    </xf>
    <xf numFmtId="0" fontId="13" fillId="4" borderId="101" xfId="7" applyFont="1" applyFill="1" applyBorder="1" applyProtection="1">
      <alignment vertical="center"/>
      <protection locked="0"/>
    </xf>
    <xf numFmtId="0" fontId="13" fillId="4" borderId="102" xfId="7" applyFont="1" applyFill="1" applyBorder="1" applyProtection="1">
      <alignment vertical="center"/>
      <protection locked="0"/>
    </xf>
    <xf numFmtId="171" fontId="13" fillId="4" borderId="84" xfId="7" applyNumberFormat="1" applyFont="1" applyFill="1" applyBorder="1" applyProtection="1">
      <alignment vertical="center"/>
      <protection locked="0"/>
    </xf>
    <xf numFmtId="0" fontId="13" fillId="4" borderId="83" xfId="7" applyFont="1" applyFill="1" applyBorder="1" applyProtection="1">
      <alignment vertical="center"/>
      <protection locked="0"/>
    </xf>
    <xf numFmtId="0" fontId="13" fillId="4" borderId="103" xfId="7" applyFont="1" applyFill="1" applyBorder="1" applyProtection="1">
      <alignment vertical="center"/>
      <protection locked="0"/>
    </xf>
    <xf numFmtId="0" fontId="6" fillId="0" borderId="104" xfId="7" applyFont="1" applyBorder="1" applyAlignment="1" applyProtection="1">
      <alignment horizontal="center" vertical="center" textRotation="90"/>
      <protection locked="0"/>
    </xf>
    <xf numFmtId="170" fontId="13" fillId="0" borderId="104" xfId="7" applyNumberFormat="1" applyFont="1" applyBorder="1">
      <alignment vertical="center"/>
    </xf>
    <xf numFmtId="165" fontId="13" fillId="3" borderId="105" xfId="7" applyNumberFormat="1" applyFont="1" applyFill="1" applyBorder="1" applyProtection="1">
      <alignment vertical="center"/>
      <protection locked="0"/>
    </xf>
    <xf numFmtId="170" fontId="13" fillId="3" borderId="106" xfId="7" applyNumberFormat="1" applyFont="1" applyFill="1" applyBorder="1" applyProtection="1">
      <alignment vertical="center"/>
      <protection locked="0"/>
    </xf>
    <xf numFmtId="170" fontId="13" fillId="3" borderId="107" xfId="7" applyNumberFormat="1" applyFont="1" applyFill="1" applyBorder="1" applyProtection="1">
      <alignment vertical="center"/>
      <protection locked="0"/>
    </xf>
    <xf numFmtId="171" fontId="12" fillId="5" borderId="59" xfId="7" applyNumberFormat="1" applyFont="1" applyFill="1" applyBorder="1" applyProtection="1">
      <alignment vertical="center"/>
      <protection locked="0"/>
    </xf>
    <xf numFmtId="171" fontId="12" fillId="5" borderId="108" xfId="7" applyNumberFormat="1" applyFont="1" applyFill="1" applyBorder="1" applyProtection="1">
      <alignment vertical="center"/>
      <protection locked="0"/>
    </xf>
    <xf numFmtId="171" fontId="12" fillId="5" borderId="91" xfId="7" applyNumberFormat="1" applyFont="1" applyFill="1" applyBorder="1" applyProtection="1">
      <alignment vertical="center"/>
      <protection locked="0"/>
    </xf>
    <xf numFmtId="171" fontId="12" fillId="5" borderId="92" xfId="7" applyNumberFormat="1" applyFont="1" applyFill="1" applyBorder="1" applyProtection="1">
      <alignment vertical="center"/>
      <protection locked="0"/>
    </xf>
    <xf numFmtId="171" fontId="12" fillId="5" borderId="93" xfId="7" applyNumberFormat="1" applyFont="1" applyFill="1" applyBorder="1" applyProtection="1">
      <alignment vertical="center"/>
      <protection locked="0"/>
    </xf>
    <xf numFmtId="171" fontId="12" fillId="5" borderId="90" xfId="7" applyNumberFormat="1" applyFont="1" applyFill="1" applyBorder="1" applyProtection="1">
      <alignment vertical="center"/>
      <protection locked="0"/>
    </xf>
    <xf numFmtId="171" fontId="20" fillId="5" borderId="56" xfId="7" applyNumberFormat="1" applyFont="1" applyFill="1" applyBorder="1" applyProtection="1">
      <alignment vertical="center"/>
      <protection locked="0"/>
    </xf>
    <xf numFmtId="171" fontId="20" fillId="5" borderId="55" xfId="7" applyNumberFormat="1" applyFont="1" applyFill="1" applyBorder="1" applyProtection="1">
      <alignment vertical="center"/>
      <protection locked="0"/>
    </xf>
    <xf numFmtId="172" fontId="20" fillId="0" borderId="35" xfId="7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09" xfId="0" applyFont="1" applyBorder="1" applyAlignment="1">
      <alignment vertical="top"/>
    </xf>
    <xf numFmtId="0" fontId="7" fillId="0" borderId="11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13" xfId="0" applyNumberFormat="1" applyFont="1" applyBorder="1"/>
    <xf numFmtId="3" fontId="7" fillId="0" borderId="114" xfId="0" applyNumberFormat="1" applyFont="1" applyBorder="1"/>
    <xf numFmtId="3" fontId="7" fillId="0" borderId="115" xfId="0" applyNumberFormat="1" applyFont="1" applyBorder="1"/>
    <xf numFmtId="0" fontId="7" fillId="0" borderId="116" xfId="0" applyFont="1" applyBorder="1"/>
    <xf numFmtId="0" fontId="7" fillId="0" borderId="7" xfId="0" applyFont="1" applyBorder="1"/>
    <xf numFmtId="0" fontId="7" fillId="0" borderId="113" xfId="0" applyFont="1" applyBorder="1"/>
    <xf numFmtId="0" fontId="7" fillId="0" borderId="114" xfId="0" applyFont="1" applyBorder="1"/>
    <xf numFmtId="10" fontId="7" fillId="0" borderId="11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17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18" xfId="0" applyFont="1" applyBorder="1" applyAlignment="1">
      <alignment horizontal="right"/>
    </xf>
    <xf numFmtId="0" fontId="7" fillId="0" borderId="119" xfId="0" applyFont="1" applyBorder="1" applyAlignment="1">
      <alignment horizontal="right"/>
    </xf>
    <xf numFmtId="0" fontId="7" fillId="0" borderId="120" xfId="0" applyFont="1" applyBorder="1" applyAlignment="1">
      <alignment horizontal="right"/>
    </xf>
    <xf numFmtId="0" fontId="7" fillId="0" borderId="121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0" fontId="7" fillId="0" borderId="124" xfId="0" applyFont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7" fillId="0" borderId="126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16" xfId="0" applyNumberFormat="1" applyFont="1" applyBorder="1"/>
    <xf numFmtId="166" fontId="5" fillId="0" borderId="113" xfId="0" applyNumberFormat="1" applyFont="1" applyBorder="1"/>
    <xf numFmtId="10" fontId="5" fillId="0" borderId="128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21" fillId="0" borderId="0" xfId="7" applyFont="1" applyAlignment="1" applyProtection="1">
      <alignment horizontal="center" vertical="center"/>
      <protection locked="0"/>
    </xf>
    <xf numFmtId="0" fontId="1" fillId="0" borderId="0" xfId="7" applyProtection="1">
      <alignment vertical="center"/>
      <protection locked="0"/>
    </xf>
    <xf numFmtId="0" fontId="27" fillId="0" borderId="0" xfId="0" applyFont="1"/>
    <xf numFmtId="172" fontId="20" fillId="0" borderId="72" xfId="7" applyNumberFormat="1" applyFont="1" applyBorder="1">
      <alignment vertical="center"/>
    </xf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129" xfId="0" applyNumberFormat="1" applyFont="1" applyBorder="1" applyAlignment="1">
      <alignment vertical="center"/>
    </xf>
    <xf numFmtId="3" fontId="7" fillId="0" borderId="130" xfId="0" applyNumberFormat="1" applyFont="1" applyBorder="1" applyAlignment="1">
      <alignment vertical="center"/>
    </xf>
    <xf numFmtId="3" fontId="7" fillId="0" borderId="131" xfId="0" applyNumberFormat="1" applyFont="1" applyBorder="1" applyAlignment="1">
      <alignment vertical="center"/>
    </xf>
    <xf numFmtId="3" fontId="7" fillId="0" borderId="132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13" xfId="0" applyNumberFormat="1" applyFont="1" applyFill="1" applyBorder="1" applyAlignment="1">
      <alignment vertical="center"/>
    </xf>
    <xf numFmtId="3" fontId="7" fillId="6" borderId="133" xfId="0" applyNumberFormat="1" applyFont="1" applyFill="1" applyBorder="1" applyAlignment="1">
      <alignment vertical="center"/>
    </xf>
    <xf numFmtId="3" fontId="7" fillId="0" borderId="134" xfId="0" applyNumberFormat="1" applyFont="1" applyBorder="1" applyAlignment="1">
      <alignment vertical="center"/>
    </xf>
    <xf numFmtId="3" fontId="7" fillId="0" borderId="135" xfId="0" applyNumberFormat="1" applyFont="1" applyBorder="1" applyAlignment="1">
      <alignment vertical="center"/>
    </xf>
    <xf numFmtId="3" fontId="7" fillId="0" borderId="133" xfId="0" applyNumberFormat="1" applyFont="1" applyBorder="1" applyAlignment="1">
      <alignment vertical="center"/>
    </xf>
    <xf numFmtId="3" fontId="7" fillId="0" borderId="136" xfId="0" applyNumberFormat="1" applyFont="1" applyBorder="1" applyAlignment="1">
      <alignment vertical="center"/>
    </xf>
    <xf numFmtId="3" fontId="7" fillId="6" borderId="137" xfId="0" applyNumberFormat="1" applyFont="1" applyFill="1" applyBorder="1" applyAlignment="1">
      <alignment vertical="center"/>
    </xf>
    <xf numFmtId="3" fontId="7" fillId="0" borderId="138" xfId="0" applyNumberFormat="1" applyFont="1" applyBorder="1" applyAlignment="1">
      <alignment vertical="center"/>
    </xf>
    <xf numFmtId="3" fontId="7" fillId="0" borderId="139" xfId="0" applyNumberFormat="1" applyFont="1" applyBorder="1" applyAlignment="1">
      <alignment vertical="center"/>
    </xf>
    <xf numFmtId="3" fontId="7" fillId="0" borderId="137" xfId="0" applyNumberFormat="1" applyFont="1" applyBorder="1" applyAlignment="1">
      <alignment vertical="center"/>
    </xf>
    <xf numFmtId="3" fontId="7" fillId="0" borderId="112" xfId="0" applyNumberFormat="1" applyFont="1" applyBorder="1" applyAlignment="1">
      <alignment vertical="center"/>
    </xf>
    <xf numFmtId="167" fontId="7" fillId="0" borderId="111" xfId="0" applyNumberFormat="1" applyFont="1" applyBorder="1" applyAlignment="1">
      <alignment horizontal="right" vertical="center"/>
    </xf>
    <xf numFmtId="167" fontId="7" fillId="0" borderId="140" xfId="0" applyNumberFormat="1" applyFont="1" applyBorder="1" applyAlignment="1">
      <alignment horizontal="right" vertical="center"/>
    </xf>
    <xf numFmtId="167" fontId="26" fillId="0" borderId="141" xfId="0" applyNumberFormat="1" applyFont="1" applyBorder="1" applyAlignment="1">
      <alignment horizontal="right" vertical="center"/>
    </xf>
    <xf numFmtId="167" fontId="7" fillId="0" borderId="142" xfId="0" applyNumberFormat="1" applyFont="1" applyBorder="1" applyAlignment="1">
      <alignment horizontal="right" vertical="center"/>
    </xf>
    <xf numFmtId="0" fontId="7" fillId="0" borderId="143" xfId="0" applyFont="1" applyBorder="1" applyAlignment="1">
      <alignment horizontal="right" vertical="center"/>
    </xf>
    <xf numFmtId="2" fontId="7" fillId="0" borderId="143" xfId="0" applyNumberFormat="1" applyFont="1" applyBorder="1" applyAlignment="1">
      <alignment horizontal="right" vertical="center"/>
    </xf>
    <xf numFmtId="0" fontId="7" fillId="0" borderId="144" xfId="0" applyFont="1" applyBorder="1" applyAlignment="1">
      <alignment horizontal="center" vertical="center"/>
    </xf>
    <xf numFmtId="167" fontId="7" fillId="0" borderId="145" xfId="0" applyNumberFormat="1" applyFont="1" applyBorder="1" applyAlignment="1">
      <alignment horizontal="right" vertical="center"/>
    </xf>
    <xf numFmtId="3" fontId="7" fillId="0" borderId="8" xfId="0" applyNumberFormat="1" applyFont="1" applyBorder="1" applyAlignment="1">
      <alignment vertical="center"/>
    </xf>
    <xf numFmtId="3" fontId="7" fillId="0" borderId="146" xfId="0" applyNumberFormat="1" applyFont="1" applyBorder="1" applyAlignment="1">
      <alignment vertical="center"/>
    </xf>
    <xf numFmtId="3" fontId="7" fillId="0" borderId="147" xfId="0" applyNumberFormat="1" applyFont="1" applyBorder="1" applyAlignment="1">
      <alignment vertical="center"/>
    </xf>
    <xf numFmtId="0" fontId="7" fillId="0" borderId="14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167" fontId="7" fillId="0" borderId="149" xfId="0" applyNumberFormat="1" applyFont="1" applyBorder="1" applyAlignment="1">
      <alignment horizontal="right" vertical="center"/>
    </xf>
    <xf numFmtId="167" fontId="7" fillId="0" borderId="150" xfId="0" applyNumberFormat="1" applyFont="1" applyBorder="1" applyAlignment="1">
      <alignment horizontal="right" vertical="center"/>
    </xf>
    <xf numFmtId="167" fontId="7" fillId="0" borderId="151" xfId="0" applyNumberFormat="1" applyFont="1" applyBorder="1" applyAlignment="1">
      <alignment horizontal="right" vertical="center"/>
    </xf>
    <xf numFmtId="167" fontId="7" fillId="0" borderId="152" xfId="0" applyNumberFormat="1" applyFont="1" applyBorder="1" applyAlignment="1">
      <alignment horizontal="right" vertical="center"/>
    </xf>
    <xf numFmtId="167" fontId="7" fillId="0" borderId="128" xfId="0" applyNumberFormat="1" applyFont="1" applyBorder="1" applyAlignment="1">
      <alignment horizontal="right" vertical="center"/>
    </xf>
    <xf numFmtId="167" fontId="7" fillId="0" borderId="153" xfId="0" applyNumberFormat="1" applyFont="1" applyBorder="1" applyAlignment="1">
      <alignment horizontal="right" vertical="center"/>
    </xf>
    <xf numFmtId="0" fontId="6" fillId="0" borderId="25" xfId="9" applyFont="1" applyBorder="1" applyAlignment="1">
      <alignment horizontal="center" vertical="center"/>
    </xf>
    <xf numFmtId="169" fontId="7" fillId="6" borderId="154" xfId="0" applyNumberFormat="1" applyFont="1" applyFill="1" applyBorder="1" applyAlignment="1" applyProtection="1">
      <alignment vertical="center"/>
      <protection locked="0"/>
    </xf>
    <xf numFmtId="167" fontId="7" fillId="0" borderId="155" xfId="0" applyNumberFormat="1" applyFont="1" applyBorder="1" applyAlignment="1">
      <alignment vertical="center"/>
    </xf>
    <xf numFmtId="167" fontId="7" fillId="0" borderId="15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57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58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59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58" xfId="9" applyFont="1" applyFill="1" applyBorder="1" applyAlignment="1" applyProtection="1">
      <alignment horizontal="left" vertical="center"/>
      <protection locked="0"/>
    </xf>
    <xf numFmtId="0" fontId="6" fillId="0" borderId="160" xfId="9" applyFont="1" applyBorder="1" applyAlignment="1">
      <alignment horizontal="left" vertical="center"/>
    </xf>
    <xf numFmtId="0" fontId="6" fillId="0" borderId="58" xfId="9" applyFont="1" applyBorder="1" applyAlignment="1">
      <alignment horizontal="left" vertical="center"/>
    </xf>
    <xf numFmtId="0" fontId="6" fillId="0" borderId="157" xfId="9" applyFont="1" applyBorder="1" applyAlignment="1">
      <alignment horizontal="center" vertical="center"/>
    </xf>
    <xf numFmtId="0" fontId="6" fillId="0" borderId="161" xfId="9" applyFont="1" applyBorder="1">
      <alignment vertical="center"/>
    </xf>
    <xf numFmtId="0" fontId="6" fillId="0" borderId="162" xfId="9" applyFont="1" applyBorder="1">
      <alignment vertical="center"/>
    </xf>
    <xf numFmtId="0" fontId="6" fillId="1" borderId="163" xfId="9" applyFont="1" applyFill="1" applyBorder="1">
      <alignment vertical="center"/>
    </xf>
    <xf numFmtId="0" fontId="6" fillId="1" borderId="164" xfId="9" applyFont="1" applyFill="1" applyBorder="1">
      <alignment vertical="center"/>
    </xf>
    <xf numFmtId="0" fontId="6" fillId="0" borderId="165" xfId="9" applyFont="1" applyBorder="1">
      <alignment vertical="center"/>
    </xf>
    <xf numFmtId="0" fontId="6" fillId="0" borderId="65" xfId="9" applyFont="1" applyBorder="1" applyAlignment="1">
      <alignment horizontal="left" vertical="center" indent="1"/>
    </xf>
    <xf numFmtId="0" fontId="6" fillId="0" borderId="163" xfId="9" applyFont="1" applyBorder="1">
      <alignment vertical="center"/>
    </xf>
    <xf numFmtId="0" fontId="6" fillId="0" borderId="164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66" xfId="9" applyFont="1" applyBorder="1">
      <alignment vertical="center"/>
    </xf>
    <xf numFmtId="0" fontId="6" fillId="0" borderId="167" xfId="9" applyFont="1" applyBorder="1">
      <alignment vertical="center"/>
    </xf>
    <xf numFmtId="171" fontId="6" fillId="0" borderId="34" xfId="9" applyNumberFormat="1" applyFont="1" applyBorder="1">
      <alignment vertical="center"/>
    </xf>
    <xf numFmtId="171" fontId="6" fillId="0" borderId="65" xfId="9" applyNumberFormat="1" applyFont="1" applyBorder="1" applyAlignment="1">
      <alignment horizontal="left" vertical="center" indent="1"/>
    </xf>
    <xf numFmtId="0" fontId="6" fillId="0" borderId="168" xfId="7" applyFont="1" applyBorder="1">
      <alignment vertical="center"/>
    </xf>
    <xf numFmtId="0" fontId="6" fillId="0" borderId="169" xfId="7" applyFont="1" applyBorder="1">
      <alignment vertical="center"/>
    </xf>
    <xf numFmtId="0" fontId="6" fillId="0" borderId="164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65" xfId="10" applyFont="1" applyBorder="1">
      <alignment vertical="center"/>
    </xf>
    <xf numFmtId="0" fontId="6" fillId="0" borderId="171" xfId="10" applyFont="1" applyBorder="1">
      <alignment vertical="center"/>
    </xf>
    <xf numFmtId="0" fontId="6" fillId="0" borderId="163" xfId="10" applyFont="1" applyBorder="1">
      <alignment vertical="center"/>
    </xf>
    <xf numFmtId="0" fontId="6" fillId="0" borderId="172" xfId="10" applyFont="1" applyBorder="1">
      <alignment vertical="center"/>
    </xf>
    <xf numFmtId="0" fontId="6" fillId="0" borderId="165" xfId="10" applyFont="1" applyBorder="1">
      <alignment vertical="center"/>
    </xf>
    <xf numFmtId="0" fontId="6" fillId="0" borderId="58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7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58" xfId="9" applyFont="1" applyBorder="1" applyAlignment="1">
      <alignment horizontal="left" vertical="center" indent="1"/>
    </xf>
    <xf numFmtId="0" fontId="31" fillId="0" borderId="163" xfId="9" applyFont="1" applyBorder="1">
      <alignment vertical="center"/>
    </xf>
    <xf numFmtId="0" fontId="31" fillId="0" borderId="164" xfId="9" applyFont="1" applyBorder="1">
      <alignment vertical="center"/>
    </xf>
    <xf numFmtId="0" fontId="31" fillId="0" borderId="174" xfId="9" applyFont="1" applyBorder="1">
      <alignment vertical="center"/>
    </xf>
    <xf numFmtId="0" fontId="23" fillId="0" borderId="164" xfId="9" applyFont="1" applyBorder="1">
      <alignment vertical="center"/>
    </xf>
    <xf numFmtId="0" fontId="23" fillId="1" borderId="164" xfId="9" applyFont="1" applyFill="1" applyBorder="1">
      <alignment vertical="center"/>
    </xf>
    <xf numFmtId="3" fontId="7" fillId="0" borderId="130" xfId="0" applyNumberFormat="1" applyFont="1" applyBorder="1" applyAlignment="1" applyProtection="1">
      <alignment horizontal="right" vertical="center"/>
      <protection locked="0"/>
    </xf>
    <xf numFmtId="3" fontId="7" fillId="0" borderId="129" xfId="0" applyNumberFormat="1" applyFont="1" applyBorder="1" applyAlignment="1">
      <alignment horizontal="right" vertical="center"/>
    </xf>
    <xf numFmtId="3" fontId="7" fillId="0" borderId="175" xfId="0" applyNumberFormat="1" applyFont="1" applyBorder="1" applyAlignment="1">
      <alignment horizontal="right" vertical="center"/>
    </xf>
    <xf numFmtId="173" fontId="7" fillId="0" borderId="134" xfId="0" applyNumberFormat="1" applyFont="1" applyBorder="1" applyAlignment="1" applyProtection="1">
      <alignment horizontal="right" vertical="center"/>
      <protection locked="0"/>
    </xf>
    <xf numFmtId="173" fontId="7" fillId="0" borderId="176" xfId="0" applyNumberFormat="1" applyFont="1" applyBorder="1" applyAlignment="1">
      <alignment horizontal="right" vertical="center"/>
    </xf>
    <xf numFmtId="173" fontId="7" fillId="0" borderId="177" xfId="0" applyNumberFormat="1" applyFont="1" applyBorder="1" applyAlignment="1">
      <alignment horizontal="right" vertical="center"/>
    </xf>
    <xf numFmtId="173" fontId="7" fillId="0" borderId="178" xfId="0" applyNumberFormat="1" applyFont="1" applyBorder="1" applyAlignment="1">
      <alignment horizontal="center" vertical="center"/>
    </xf>
    <xf numFmtId="173" fontId="7" fillId="0" borderId="179" xfId="0" applyNumberFormat="1" applyFont="1" applyBorder="1" applyAlignment="1">
      <alignment vertical="center"/>
    </xf>
    <xf numFmtId="173" fontId="7" fillId="0" borderId="177" xfId="0" applyNumberFormat="1" applyFont="1" applyBorder="1" applyAlignment="1">
      <alignment vertical="center"/>
    </xf>
    <xf numFmtId="173" fontId="7" fillId="0" borderId="180" xfId="0" applyNumberFormat="1" applyFont="1" applyBorder="1" applyAlignment="1">
      <alignment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81" xfId="0" applyNumberFormat="1" applyFont="1" applyBorder="1" applyAlignment="1">
      <alignment vertical="center"/>
    </xf>
    <xf numFmtId="3" fontId="5" fillId="0" borderId="182" xfId="0" applyNumberFormat="1" applyFont="1" applyBorder="1" applyAlignment="1">
      <alignment vertical="center"/>
    </xf>
    <xf numFmtId="3" fontId="5" fillId="6" borderId="116" xfId="0" applyNumberFormat="1" applyFont="1" applyFill="1" applyBorder="1" applyAlignment="1">
      <alignment vertical="center"/>
    </xf>
    <xf numFmtId="3" fontId="7" fillId="0" borderId="183" xfId="0" applyNumberFormat="1" applyFont="1" applyBorder="1" applyAlignment="1">
      <alignment vertical="center"/>
    </xf>
    <xf numFmtId="3" fontId="5" fillId="0" borderId="176" xfId="0" applyNumberFormat="1" applyFont="1" applyBorder="1" applyAlignment="1">
      <alignment vertical="center"/>
    </xf>
    <xf numFmtId="3" fontId="7" fillId="0" borderId="184" xfId="0" applyNumberFormat="1" applyFont="1" applyBorder="1" applyAlignment="1">
      <alignment vertical="center"/>
    </xf>
    <xf numFmtId="3" fontId="7" fillId="0" borderId="131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173" fontId="7" fillId="6" borderId="113" xfId="0" applyNumberFormat="1" applyFont="1" applyFill="1" applyBorder="1" applyAlignment="1">
      <alignment horizontal="right" vertical="center"/>
    </xf>
    <xf numFmtId="173" fontId="7" fillId="6" borderId="136" xfId="0" applyNumberFormat="1" applyFont="1" applyFill="1" applyBorder="1" applyAlignment="1">
      <alignment horizontal="right" vertical="center"/>
    </xf>
    <xf numFmtId="173" fontId="7" fillId="0" borderId="185" xfId="0" applyNumberFormat="1" applyFont="1" applyBorder="1" applyAlignment="1">
      <alignment horizontal="right" vertical="center"/>
    </xf>
    <xf numFmtId="173" fontId="7" fillId="0" borderId="158" xfId="0" applyNumberFormat="1" applyFont="1" applyBorder="1" applyAlignment="1">
      <alignment horizontal="right" vertical="center"/>
    </xf>
    <xf numFmtId="3" fontId="7" fillId="0" borderId="186" xfId="0" applyNumberFormat="1" applyFont="1" applyBorder="1" applyAlignment="1">
      <alignment vertical="center"/>
    </xf>
    <xf numFmtId="3" fontId="5" fillId="0" borderId="187" xfId="0" applyNumberFormat="1" applyFont="1" applyBorder="1" applyAlignment="1">
      <alignment vertical="center"/>
    </xf>
    <xf numFmtId="3" fontId="5" fillId="0" borderId="188" xfId="0" applyNumberFormat="1" applyFont="1" applyBorder="1" applyAlignment="1">
      <alignment vertical="center"/>
    </xf>
    <xf numFmtId="3" fontId="7" fillId="6" borderId="188" xfId="0" applyNumberFormat="1" applyFont="1" applyFill="1" applyBorder="1" applyAlignment="1">
      <alignment vertical="center"/>
    </xf>
    <xf numFmtId="3" fontId="7" fillId="6" borderId="171" xfId="0" applyNumberFormat="1" applyFont="1" applyFill="1" applyBorder="1" applyAlignment="1">
      <alignment vertical="center"/>
    </xf>
    <xf numFmtId="3" fontId="5" fillId="0" borderId="135" xfId="0" applyNumberFormat="1" applyFont="1" applyBorder="1" applyAlignment="1">
      <alignment vertical="center"/>
    </xf>
    <xf numFmtId="3" fontId="5" fillId="0" borderId="146" xfId="0" applyNumberFormat="1" applyFont="1" applyBorder="1" applyAlignment="1">
      <alignment vertical="center"/>
    </xf>
    <xf numFmtId="3" fontId="7" fillId="6" borderId="146" xfId="0" applyNumberFormat="1" applyFont="1" applyFill="1" applyBorder="1" applyAlignment="1">
      <alignment vertical="center"/>
    </xf>
    <xf numFmtId="3" fontId="7" fillId="6" borderId="164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37" fillId="6" borderId="129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horizontal="right"/>
    </xf>
    <xf numFmtId="1" fontId="34" fillId="0" borderId="0" xfId="0" applyNumberFormat="1" applyFont="1"/>
    <xf numFmtId="0" fontId="38" fillId="0" borderId="7" xfId="0" applyFont="1" applyBorder="1" applyAlignment="1">
      <alignment horizontal="center" vertical="center"/>
    </xf>
    <xf numFmtId="0" fontId="38" fillId="0" borderId="110" xfId="0" applyFont="1" applyBorder="1" applyAlignment="1">
      <alignment horizontal="center" vertical="top" wrapText="1"/>
    </xf>
    <xf numFmtId="0" fontId="8" fillId="0" borderId="122" xfId="0" applyFont="1" applyBorder="1" applyAlignment="1">
      <alignment horizontal="center" vertical="center"/>
    </xf>
    <xf numFmtId="0" fontId="8" fillId="0" borderId="144" xfId="0" applyFont="1" applyBorder="1" applyAlignment="1">
      <alignment horizontal="center" vertical="center"/>
    </xf>
    <xf numFmtId="0" fontId="38" fillId="0" borderId="136" xfId="0" applyFont="1" applyBorder="1" applyAlignment="1">
      <alignment horizontal="center" vertical="center"/>
    </xf>
    <xf numFmtId="0" fontId="38" fillId="0" borderId="110" xfId="0" applyFont="1" applyBorder="1" applyAlignment="1">
      <alignment horizontal="center" vertical="center"/>
    </xf>
    <xf numFmtId="0" fontId="38" fillId="0" borderId="142" xfId="0" applyFont="1" applyBorder="1" applyAlignment="1">
      <alignment horizontal="center" vertical="center"/>
    </xf>
    <xf numFmtId="0" fontId="38" fillId="0" borderId="117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3" fontId="7" fillId="0" borderId="189" xfId="0" applyNumberFormat="1" applyFont="1" applyBorder="1" applyAlignment="1">
      <alignment vertical="center"/>
    </xf>
    <xf numFmtId="3" fontId="7" fillId="0" borderId="190" xfId="0" applyNumberFormat="1" applyFont="1" applyBorder="1" applyAlignment="1">
      <alignment vertical="center"/>
    </xf>
    <xf numFmtId="3" fontId="7" fillId="0" borderId="131" xfId="0" applyNumberFormat="1" applyFont="1" applyBorder="1" applyAlignment="1" applyProtection="1">
      <alignment horizontal="right" vertical="center"/>
      <protection locked="0"/>
    </xf>
    <xf numFmtId="173" fontId="7" fillId="0" borderId="135" xfId="0" applyNumberFormat="1" applyFont="1" applyBorder="1" applyAlignment="1" applyProtection="1">
      <alignment horizontal="right" vertical="center"/>
      <protection locked="0"/>
    </xf>
    <xf numFmtId="3" fontId="7" fillId="0" borderId="191" xfId="0" applyNumberFormat="1" applyFont="1" applyBorder="1" applyAlignment="1" applyProtection="1">
      <alignment horizontal="right" vertical="center"/>
      <protection locked="0"/>
    </xf>
    <xf numFmtId="0" fontId="39" fillId="0" borderId="0" xfId="0" applyFont="1"/>
    <xf numFmtId="0" fontId="40" fillId="0" borderId="0" xfId="0" applyFont="1" applyAlignment="1">
      <alignment vertical="center"/>
    </xf>
    <xf numFmtId="0" fontId="41" fillId="0" borderId="143" xfId="0" applyFont="1" applyBorder="1" applyAlignment="1">
      <alignment horizontal="right" vertical="center"/>
    </xf>
    <xf numFmtId="0" fontId="42" fillId="0" borderId="143" xfId="0" applyFont="1" applyBorder="1" applyAlignment="1">
      <alignment horizontal="right" vertical="center"/>
    </xf>
    <xf numFmtId="9" fontId="42" fillId="0" borderId="143" xfId="0" applyNumberFormat="1" applyFont="1" applyBorder="1" applyAlignment="1">
      <alignment horizontal="right" vertical="center"/>
    </xf>
    <xf numFmtId="9" fontId="42" fillId="0" borderId="143" xfId="3" applyFont="1" applyBorder="1" applyAlignment="1">
      <alignment horizontal="right" vertical="center"/>
    </xf>
    <xf numFmtId="9" fontId="42" fillId="0" borderId="192" xfId="3" applyFont="1" applyBorder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40" fillId="0" borderId="0" xfId="0" applyFont="1"/>
    <xf numFmtId="2" fontId="40" fillId="0" borderId="0" xfId="0" applyNumberFormat="1" applyFont="1"/>
    <xf numFmtId="167" fontId="40" fillId="0" borderId="0" xfId="0" applyNumberFormat="1" applyFont="1"/>
    <xf numFmtId="4" fontId="6" fillId="0" borderId="0" xfId="0" applyNumberFormat="1" applyFont="1"/>
    <xf numFmtId="3" fontId="6" fillId="0" borderId="0" xfId="0" applyNumberFormat="1" applyFont="1"/>
    <xf numFmtId="1" fontId="39" fillId="0" borderId="0" xfId="0" applyNumberFormat="1" applyFont="1"/>
    <xf numFmtId="171" fontId="13" fillId="3" borderId="35" xfId="7" applyNumberFormat="1" applyFont="1" applyFill="1" applyBorder="1" applyProtection="1">
      <alignment vertical="center"/>
      <protection locked="0"/>
    </xf>
    <xf numFmtId="3" fontId="31" fillId="0" borderId="0" xfId="7" applyNumberFormat="1" applyFont="1" applyProtection="1">
      <alignment vertical="center"/>
      <protection locked="0"/>
    </xf>
    <xf numFmtId="3" fontId="35" fillId="0" borderId="0" xfId="7" applyNumberFormat="1" applyFont="1" applyProtection="1">
      <alignment vertical="center"/>
      <protection locked="0"/>
    </xf>
    <xf numFmtId="171" fontId="13" fillId="3" borderId="77" xfId="7" applyNumberFormat="1" applyFont="1" applyFill="1" applyBorder="1" applyProtection="1">
      <alignment vertical="center"/>
      <protection locked="0"/>
    </xf>
    <xf numFmtId="0" fontId="38" fillId="0" borderId="121" xfId="0" applyFont="1" applyBorder="1" applyAlignment="1">
      <alignment horizontal="center" vertical="top" wrapText="1"/>
    </xf>
    <xf numFmtId="0" fontId="39" fillId="0" borderId="0" xfId="9" applyFont="1" applyProtection="1">
      <alignment vertical="center"/>
      <protection locked="0"/>
    </xf>
    <xf numFmtId="3" fontId="45" fillId="0" borderId="0" xfId="7" applyNumberFormat="1" applyFont="1" applyProtection="1">
      <alignment vertical="center"/>
      <protection locked="0"/>
    </xf>
    <xf numFmtId="0" fontId="46" fillId="0" borderId="0" xfId="7" applyFont="1" applyProtection="1">
      <alignment vertical="center"/>
      <protection locked="0"/>
    </xf>
    <xf numFmtId="3" fontId="47" fillId="0" borderId="0" xfId="7" applyNumberFormat="1" applyFont="1" applyProtection="1">
      <alignment vertical="center"/>
      <protection locked="0"/>
    </xf>
    <xf numFmtId="0" fontId="39" fillId="0" borderId="0" xfId="7" applyFont="1" applyProtection="1">
      <alignment vertical="center"/>
      <protection locked="0"/>
    </xf>
    <xf numFmtId="10" fontId="39" fillId="0" borderId="0" xfId="3" applyNumberFormat="1" applyFont="1" applyAlignment="1" applyProtection="1">
      <alignment vertical="center"/>
      <protection locked="0"/>
    </xf>
    <xf numFmtId="2" fontId="39" fillId="0" borderId="0" xfId="3" applyNumberFormat="1" applyFont="1" applyAlignment="1" applyProtection="1">
      <alignment vertical="center"/>
      <protection locked="0"/>
    </xf>
    <xf numFmtId="168" fontId="39" fillId="0" borderId="0" xfId="3" applyNumberFormat="1" applyFont="1" applyAlignment="1" applyProtection="1">
      <alignment vertical="center"/>
      <protection locked="0"/>
    </xf>
    <xf numFmtId="165" fontId="18" fillId="3" borderId="193" xfId="7" applyNumberFormat="1" applyFont="1" applyFill="1" applyBorder="1" applyAlignment="1" applyProtection="1">
      <alignment horizontal="right" vertical="center"/>
      <protection locked="0"/>
    </xf>
    <xf numFmtId="165" fontId="18" fillId="3" borderId="194" xfId="7" applyNumberFormat="1" applyFont="1" applyFill="1" applyBorder="1" applyAlignment="1" applyProtection="1">
      <alignment horizontal="right" vertical="center"/>
      <protection locked="0"/>
    </xf>
    <xf numFmtId="165" fontId="18" fillId="3" borderId="192" xfId="7" applyNumberFormat="1" applyFont="1" applyFill="1" applyBorder="1" applyAlignment="1" applyProtection="1">
      <alignment horizontal="right" vertical="center"/>
      <protection locked="0"/>
    </xf>
    <xf numFmtId="171" fontId="20" fillId="0" borderId="0" xfId="7" applyNumberFormat="1" applyFont="1">
      <alignment vertical="center"/>
    </xf>
    <xf numFmtId="171" fontId="12" fillId="3" borderId="11" xfId="7" applyNumberFormat="1" applyFont="1" applyFill="1" applyBorder="1" applyProtection="1">
      <alignment vertical="center"/>
      <protection locked="0"/>
    </xf>
    <xf numFmtId="171" fontId="12" fillId="3" borderId="14" xfId="7" applyNumberFormat="1" applyFont="1" applyFill="1" applyBorder="1" applyProtection="1">
      <alignment vertical="center"/>
      <protection locked="0"/>
    </xf>
    <xf numFmtId="165" fontId="18" fillId="3" borderId="173" xfId="7" applyNumberFormat="1" applyFont="1" applyFill="1" applyBorder="1" applyAlignment="1" applyProtection="1">
      <alignment horizontal="right" vertical="center"/>
      <protection locked="0"/>
    </xf>
    <xf numFmtId="165" fontId="18" fillId="3" borderId="14" xfId="7" applyNumberFormat="1" applyFont="1" applyFill="1" applyBorder="1" applyAlignment="1" applyProtection="1">
      <alignment horizontal="right" vertical="center"/>
      <protection locked="0"/>
    </xf>
    <xf numFmtId="165" fontId="19" fillId="0" borderId="0" xfId="7" applyNumberFormat="1" applyFont="1" applyAlignment="1">
      <alignment horizontal="right" vertical="center"/>
    </xf>
    <xf numFmtId="171" fontId="13" fillId="3" borderId="195" xfId="7" applyNumberFormat="1" applyFont="1" applyFill="1" applyBorder="1" applyProtection="1">
      <alignment vertical="center"/>
      <protection locked="0"/>
    </xf>
    <xf numFmtId="171" fontId="12" fillId="5" borderId="11" xfId="7" applyNumberFormat="1" applyFont="1" applyFill="1" applyBorder="1" applyProtection="1">
      <alignment vertical="center"/>
      <protection locked="0"/>
    </xf>
    <xf numFmtId="171" fontId="16" fillId="0" borderId="25" xfId="7" applyNumberFormat="1" applyFont="1" applyBorder="1">
      <alignment vertical="center"/>
    </xf>
    <xf numFmtId="171" fontId="13" fillId="3" borderId="196" xfId="7" applyNumberFormat="1" applyFont="1" applyFill="1" applyBorder="1" applyProtection="1">
      <alignment vertical="center"/>
      <protection locked="0"/>
    </xf>
    <xf numFmtId="171" fontId="16" fillId="0" borderId="14" xfId="7" applyNumberFormat="1" applyFont="1" applyBorder="1">
      <alignment vertical="center"/>
    </xf>
    <xf numFmtId="165" fontId="18" fillId="3" borderId="143" xfId="7" applyNumberFormat="1" applyFont="1" applyFill="1" applyBorder="1" applyAlignment="1" applyProtection="1">
      <alignment horizontal="right" vertical="center"/>
      <protection locked="0"/>
    </xf>
    <xf numFmtId="0" fontId="16" fillId="0" borderId="197" xfId="7" applyFont="1" applyBorder="1" applyAlignment="1">
      <alignment horizontal="center" vertical="center"/>
    </xf>
    <xf numFmtId="0" fontId="16" fillId="0" borderId="95" xfId="7" applyFont="1" applyBorder="1" applyAlignment="1">
      <alignment horizontal="center" vertical="center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171" fontId="13" fillId="3" borderId="47" xfId="7" applyNumberFormat="1" applyFont="1" applyFill="1" applyBorder="1" applyProtection="1">
      <alignment vertical="center"/>
      <protection locked="0"/>
    </xf>
    <xf numFmtId="170" fontId="13" fillId="1" borderId="41" xfId="7" applyNumberFormat="1" applyFont="1" applyFill="1" applyBorder="1">
      <alignment vertical="center"/>
    </xf>
    <xf numFmtId="170" fontId="13" fillId="1" borderId="52" xfId="7" applyNumberFormat="1" applyFont="1" applyFill="1" applyBorder="1">
      <alignment vertical="center"/>
    </xf>
    <xf numFmtId="171" fontId="12" fillId="3" borderId="36" xfId="7" applyNumberFormat="1" applyFont="1" applyFill="1" applyBorder="1" applyProtection="1">
      <alignment vertical="center"/>
      <protection locked="0"/>
    </xf>
    <xf numFmtId="171" fontId="20" fillId="0" borderId="41" xfId="7" applyNumberFormat="1" applyFont="1" applyBorder="1">
      <alignment vertical="center"/>
    </xf>
    <xf numFmtId="171" fontId="12" fillId="3" borderId="62" xfId="7" applyNumberFormat="1" applyFont="1" applyFill="1" applyBorder="1" applyProtection="1">
      <alignment vertical="center"/>
      <protection locked="0"/>
    </xf>
    <xf numFmtId="171" fontId="12" fillId="3" borderId="52" xfId="7" applyNumberFormat="1" applyFont="1" applyFill="1" applyBorder="1" applyProtection="1">
      <alignment vertical="center"/>
      <protection locked="0"/>
    </xf>
    <xf numFmtId="171" fontId="12" fillId="1" borderId="52" xfId="7" applyNumberFormat="1" applyFont="1" applyFill="1" applyBorder="1">
      <alignment vertical="center"/>
    </xf>
    <xf numFmtId="171" fontId="20" fillId="0" borderId="36" xfId="7" applyNumberFormat="1" applyFont="1" applyBorder="1">
      <alignment vertical="center"/>
    </xf>
    <xf numFmtId="171" fontId="19" fillId="3" borderId="69" xfId="7" applyNumberFormat="1" applyFont="1" applyFill="1" applyBorder="1" applyProtection="1">
      <alignment vertical="center"/>
      <protection locked="0"/>
    </xf>
    <xf numFmtId="171" fontId="20" fillId="0" borderId="74" xfId="7" applyNumberFormat="1" applyFont="1" applyBorder="1">
      <alignment vertical="center"/>
    </xf>
    <xf numFmtId="171" fontId="13" fillId="3" borderId="80" xfId="7" applyNumberFormat="1" applyFont="1" applyFill="1" applyBorder="1" applyProtection="1">
      <alignment vertical="center"/>
      <protection locked="0"/>
    </xf>
    <xf numFmtId="171" fontId="12" fillId="5" borderId="62" xfId="7" applyNumberFormat="1" applyFont="1" applyFill="1" applyBorder="1" applyProtection="1">
      <alignment vertical="center"/>
      <protection locked="0"/>
    </xf>
    <xf numFmtId="171" fontId="12" fillId="5" borderId="82" xfId="7" applyNumberFormat="1" applyFont="1" applyFill="1" applyBorder="1" applyProtection="1">
      <alignment vertical="center"/>
      <protection locked="0"/>
    </xf>
    <xf numFmtId="171" fontId="13" fillId="3" borderId="36" xfId="7" applyNumberFormat="1" applyFont="1" applyFill="1" applyBorder="1" applyProtection="1">
      <alignment vertical="center"/>
      <protection locked="0"/>
    </xf>
    <xf numFmtId="171" fontId="16" fillId="0" borderId="84" xfId="7" applyNumberFormat="1" applyFont="1" applyBorder="1">
      <alignment vertical="center"/>
    </xf>
    <xf numFmtId="0" fontId="13" fillId="1" borderId="88" xfId="10" applyFont="1" applyFill="1" applyBorder="1">
      <alignment vertical="center"/>
    </xf>
    <xf numFmtId="0" fontId="13" fillId="1" borderId="52" xfId="7" applyFont="1" applyFill="1" applyBorder="1">
      <alignment vertical="center"/>
    </xf>
    <xf numFmtId="171" fontId="13" fillId="3" borderId="52" xfId="7" applyNumberFormat="1" applyFont="1" applyFill="1" applyBorder="1" applyProtection="1">
      <alignment vertical="center"/>
      <protection locked="0"/>
    </xf>
    <xf numFmtId="0" fontId="13" fillId="3" borderId="82" xfId="7" applyFont="1" applyFill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4" borderId="84" xfId="7" applyFont="1" applyFill="1" applyBorder="1" applyProtection="1">
      <alignment vertical="center"/>
      <protection locked="0"/>
    </xf>
    <xf numFmtId="165" fontId="18" fillId="3" borderId="104" xfId="7" applyNumberFormat="1" applyFont="1" applyFill="1" applyBorder="1" applyAlignment="1" applyProtection="1">
      <alignment horizontal="right" vertical="center"/>
      <protection locked="0"/>
    </xf>
    <xf numFmtId="171" fontId="13" fillId="3" borderId="14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0" fontId="7" fillId="0" borderId="20" xfId="0" applyFont="1" applyBorder="1" applyAlignment="1">
      <alignment horizontal="centerContinuous" vertical="center"/>
    </xf>
    <xf numFmtId="165" fontId="13" fillId="0" borderId="0" xfId="7" applyNumberFormat="1" applyFont="1" applyAlignment="1" applyProtection="1">
      <alignment horizontal="center" vertical="center"/>
      <protection locked="0"/>
    </xf>
    <xf numFmtId="165" fontId="6" fillId="0" borderId="0" xfId="7" applyNumberFormat="1" applyFont="1" applyProtection="1">
      <alignment vertical="center"/>
      <protection locked="0"/>
    </xf>
    <xf numFmtId="165" fontId="21" fillId="0" borderId="0" xfId="7" applyNumberFormat="1" applyFont="1" applyAlignment="1" applyProtection="1">
      <alignment horizontal="center" vertical="center"/>
      <protection locked="0"/>
    </xf>
    <xf numFmtId="0" fontId="7" fillId="0" borderId="191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8" fillId="0" borderId="0" xfId="9" applyFont="1" applyProtection="1">
      <alignment vertical="center"/>
      <protection locked="0"/>
    </xf>
    <xf numFmtId="3" fontId="49" fillId="0" borderId="0" xfId="7" applyNumberFormat="1" applyFont="1" applyProtection="1">
      <alignment vertical="center"/>
      <protection locked="0"/>
    </xf>
    <xf numFmtId="0" fontId="50" fillId="0" borderId="0" xfId="7" applyFont="1" applyProtection="1">
      <alignment vertical="center"/>
      <protection locked="0"/>
    </xf>
    <xf numFmtId="0" fontId="48" fillId="0" borderId="0" xfId="7" applyFont="1" applyProtection="1">
      <alignment vertical="center"/>
      <protection locked="0"/>
    </xf>
    <xf numFmtId="3" fontId="51" fillId="0" borderId="0" xfId="7" applyNumberFormat="1" applyFont="1" applyProtection="1">
      <alignment vertical="center"/>
      <protection locked="0"/>
    </xf>
    <xf numFmtId="10" fontId="48" fillId="0" borderId="0" xfId="3" applyNumberFormat="1" applyFont="1" applyAlignment="1" applyProtection="1">
      <alignment vertical="center"/>
      <protection locked="0"/>
    </xf>
    <xf numFmtId="2" fontId="48" fillId="0" borderId="0" xfId="3" applyNumberFormat="1" applyFont="1" applyAlignment="1" applyProtection="1">
      <alignment vertical="center"/>
      <protection locked="0"/>
    </xf>
    <xf numFmtId="168" fontId="48" fillId="0" borderId="0" xfId="3" applyNumberFormat="1" applyFont="1" applyAlignment="1" applyProtection="1">
      <alignment vertical="center"/>
      <protection locked="0"/>
    </xf>
    <xf numFmtId="175" fontId="16" fillId="0" borderId="47" xfId="7" applyNumberFormat="1" applyFont="1" applyBorder="1" applyAlignment="1">
      <alignment horizontal="right" vertical="center"/>
    </xf>
    <xf numFmtId="175" fontId="16" fillId="1" borderId="41" xfId="7" applyNumberFormat="1" applyFont="1" applyFill="1" applyBorder="1" applyAlignment="1">
      <alignment horizontal="right" vertical="center"/>
    </xf>
    <xf numFmtId="175" fontId="16" fillId="1" borderId="52" xfId="7" applyNumberFormat="1" applyFont="1" applyFill="1" applyBorder="1" applyAlignment="1">
      <alignment horizontal="right" vertical="center"/>
    </xf>
    <xf numFmtId="175" fontId="16" fillId="0" borderId="36" xfId="7" applyNumberFormat="1" applyFont="1" applyBorder="1" applyAlignment="1">
      <alignment horizontal="right" vertical="center"/>
    </xf>
    <xf numFmtId="175" fontId="16" fillId="0" borderId="41" xfId="7" applyNumberFormat="1" applyFont="1" applyBorder="1" applyAlignment="1">
      <alignment horizontal="right" vertical="center"/>
    </xf>
    <xf numFmtId="175" fontId="20" fillId="0" borderId="62" xfId="7" applyNumberFormat="1" applyFont="1" applyBorder="1" applyAlignment="1">
      <alignment horizontal="right" vertical="center"/>
    </xf>
    <xf numFmtId="175" fontId="20" fillId="0" borderId="52" xfId="7" applyNumberFormat="1" applyFont="1" applyBorder="1" applyAlignment="1">
      <alignment horizontal="right" vertical="center"/>
    </xf>
    <xf numFmtId="175" fontId="20" fillId="1" borderId="52" xfId="7" applyNumberFormat="1" applyFont="1" applyFill="1" applyBorder="1" applyAlignment="1">
      <alignment horizontal="right" vertical="center"/>
    </xf>
    <xf numFmtId="175" fontId="20" fillId="0" borderId="36" xfId="7" applyNumberFormat="1" applyFont="1" applyBorder="1" applyAlignment="1">
      <alignment horizontal="right" vertical="center"/>
    </xf>
    <xf numFmtId="175" fontId="20" fillId="0" borderId="69" xfId="7" applyNumberFormat="1" applyFont="1" applyBorder="1" applyAlignment="1">
      <alignment horizontal="right" vertical="center"/>
    </xf>
    <xf numFmtId="175" fontId="16" fillId="0" borderId="74" xfId="7" applyNumberFormat="1" applyFont="1" applyBorder="1" applyAlignment="1">
      <alignment horizontal="right" vertical="center"/>
    </xf>
    <xf numFmtId="175" fontId="16" fillId="0" borderId="80" xfId="7" applyNumberFormat="1" applyFont="1" applyBorder="1" applyAlignment="1">
      <alignment horizontal="right" vertical="center"/>
    </xf>
    <xf numFmtId="175" fontId="20" fillId="0" borderId="82" xfId="7" applyNumberFormat="1" applyFont="1" applyBorder="1" applyAlignment="1">
      <alignment horizontal="right" vertical="center"/>
    </xf>
    <xf numFmtId="175" fontId="16" fillId="0" borderId="84" xfId="7" applyNumberFormat="1" applyFont="1" applyBorder="1" applyAlignment="1">
      <alignment horizontal="right" vertical="center"/>
    </xf>
    <xf numFmtId="175" fontId="13" fillId="1" borderId="88" xfId="10" applyNumberFormat="1" applyFont="1" applyFill="1" applyBorder="1">
      <alignment vertical="center"/>
    </xf>
    <xf numFmtId="175" fontId="13" fillId="1" borderId="52" xfId="7" applyNumberFormat="1" applyFont="1" applyFill="1" applyBorder="1">
      <alignment vertical="center"/>
    </xf>
    <xf numFmtId="175" fontId="13" fillId="0" borderId="52" xfId="7" applyNumberFormat="1" applyFont="1" applyBorder="1">
      <alignment vertical="center"/>
    </xf>
    <xf numFmtId="175" fontId="13" fillId="0" borderId="82" xfId="7" applyNumberFormat="1" applyFont="1" applyBorder="1">
      <alignment vertical="center"/>
    </xf>
    <xf numFmtId="175" fontId="16" fillId="0" borderId="36" xfId="7" applyNumberFormat="1" applyFont="1" applyBorder="1">
      <alignment vertical="center"/>
    </xf>
    <xf numFmtId="175" fontId="13" fillId="0" borderId="36" xfId="7" applyNumberFormat="1" applyFont="1" applyBorder="1" applyProtection="1">
      <alignment vertical="center"/>
      <protection locked="0"/>
    </xf>
    <xf numFmtId="175" fontId="13" fillId="0" borderId="52" xfId="7" applyNumberFormat="1" applyFont="1" applyBorder="1" applyProtection="1">
      <alignment vertical="center"/>
      <protection locked="0"/>
    </xf>
    <xf numFmtId="175" fontId="13" fillId="0" borderId="82" xfId="7" applyNumberFormat="1" applyFont="1" applyBorder="1" applyProtection="1">
      <alignment vertical="center"/>
      <protection locked="0"/>
    </xf>
    <xf numFmtId="175" fontId="13" fillId="0" borderId="74" xfId="7" applyNumberFormat="1" applyFont="1" applyBorder="1" applyProtection="1">
      <alignment vertical="center"/>
      <protection locked="0"/>
    </xf>
    <xf numFmtId="175" fontId="13" fillId="0" borderId="69" xfId="10" applyNumberFormat="1" applyFont="1" applyBorder="1" applyProtection="1">
      <alignment vertical="center"/>
      <protection locked="0"/>
    </xf>
    <xf numFmtId="175" fontId="13" fillId="0" borderId="95" xfId="10" applyNumberFormat="1" applyFont="1" applyBorder="1" applyProtection="1">
      <alignment vertical="center"/>
      <protection locked="0"/>
    </xf>
    <xf numFmtId="175" fontId="13" fillId="0" borderId="33" xfId="10" applyNumberFormat="1" applyFont="1" applyBorder="1" applyProtection="1">
      <alignment vertical="center"/>
      <protection locked="0"/>
    </xf>
    <xf numFmtId="175" fontId="13" fillId="0" borderId="36" xfId="10" applyNumberFormat="1" applyFont="1" applyBorder="1" applyProtection="1">
      <alignment vertical="center"/>
      <protection locked="0"/>
    </xf>
    <xf numFmtId="175" fontId="13" fillId="0" borderId="84" xfId="10" applyNumberFormat="1" applyFont="1" applyBorder="1" applyProtection="1">
      <alignment vertical="center"/>
      <protection locked="0"/>
    </xf>
    <xf numFmtId="175" fontId="13" fillId="4" borderId="84" xfId="7" applyNumberFormat="1" applyFont="1" applyFill="1" applyBorder="1" applyProtection="1">
      <alignment vertical="center"/>
      <protection locked="0"/>
    </xf>
    <xf numFmtId="1" fontId="13" fillId="0" borderId="104" xfId="7" applyNumberFormat="1" applyFont="1" applyBorder="1">
      <alignment vertical="center"/>
    </xf>
    <xf numFmtId="175" fontId="7" fillId="0" borderId="198" xfId="0" applyNumberFormat="1" applyFont="1" applyBorder="1" applyAlignment="1" applyProtection="1">
      <alignment vertical="center"/>
      <protection locked="0"/>
    </xf>
    <xf numFmtId="175" fontId="7" fillId="0" borderId="199" xfId="0" applyNumberFormat="1" applyFont="1" applyBorder="1" applyAlignment="1">
      <alignment vertical="center"/>
    </xf>
    <xf numFmtId="175" fontId="7" fillId="0" borderId="200" xfId="0" applyNumberFormat="1" applyFont="1" applyBorder="1" applyAlignment="1" applyProtection="1">
      <alignment vertical="center"/>
      <protection locked="0"/>
    </xf>
    <xf numFmtId="175" fontId="7" fillId="0" borderId="191" xfId="0" applyNumberFormat="1" applyFont="1" applyBorder="1" applyAlignment="1">
      <alignment vertical="center"/>
    </xf>
    <xf numFmtId="175" fontId="7" fillId="0" borderId="189" xfId="0" applyNumberFormat="1" applyFont="1" applyBorder="1" applyAlignment="1" applyProtection="1">
      <alignment vertical="center"/>
      <protection locked="0"/>
    </xf>
    <xf numFmtId="175" fontId="7" fillId="0" borderId="201" xfId="0" applyNumberFormat="1" applyFont="1" applyBorder="1" applyAlignment="1" applyProtection="1">
      <alignment vertical="center"/>
      <protection locked="0"/>
    </xf>
    <xf numFmtId="175" fontId="7" fillId="0" borderId="130" xfId="0" applyNumberFormat="1" applyFont="1" applyBorder="1" applyAlignment="1">
      <alignment vertical="center"/>
    </xf>
    <xf numFmtId="175" fontId="7" fillId="0" borderId="189" xfId="0" applyNumberFormat="1" applyFont="1" applyBorder="1" applyAlignment="1" applyProtection="1">
      <alignment horizontal="right" vertical="center"/>
      <protection locked="0"/>
    </xf>
    <xf numFmtId="175" fontId="7" fillId="0" borderId="178" xfId="0" applyNumberFormat="1" applyFont="1" applyBorder="1" applyAlignment="1">
      <alignment vertical="center"/>
    </xf>
    <xf numFmtId="175" fontId="16" fillId="0" borderId="102" xfId="7" applyNumberFormat="1" applyFont="1" applyBorder="1">
      <alignment vertical="center"/>
    </xf>
    <xf numFmtId="175" fontId="20" fillId="0" borderId="40" xfId="7" applyNumberFormat="1" applyFont="1" applyBorder="1">
      <alignment vertical="center"/>
    </xf>
    <xf numFmtId="175" fontId="13" fillId="3" borderId="49" xfId="7" applyNumberFormat="1" applyFont="1" applyFill="1" applyBorder="1" applyProtection="1">
      <alignment vertical="center"/>
      <protection locked="0"/>
    </xf>
    <xf numFmtId="165" fontId="18" fillId="3" borderId="99" xfId="7" applyNumberFormat="1" applyFont="1" applyFill="1" applyBorder="1" applyAlignment="1" applyProtection="1">
      <alignment horizontal="right" vertical="center"/>
      <protection locked="0"/>
    </xf>
    <xf numFmtId="165" fontId="18" fillId="3" borderId="57" xfId="7" applyNumberFormat="1" applyFont="1" applyFill="1" applyBorder="1" applyAlignment="1" applyProtection="1">
      <alignment horizontal="right" vertical="center"/>
      <protection locked="0"/>
    </xf>
    <xf numFmtId="175" fontId="20" fillId="0" borderId="71" xfId="7" applyNumberFormat="1" applyFont="1" applyBorder="1">
      <alignment vertical="center"/>
    </xf>
    <xf numFmtId="175" fontId="13" fillId="3" borderId="35" xfId="7" applyNumberFormat="1" applyFont="1" applyFill="1" applyBorder="1" applyProtection="1">
      <alignment vertical="center"/>
      <protection locked="0"/>
    </xf>
    <xf numFmtId="175" fontId="12" fillId="3" borderId="59" xfId="7" applyNumberFormat="1" applyFont="1" applyFill="1" applyBorder="1" applyProtection="1">
      <alignment vertical="center"/>
      <protection locked="0"/>
    </xf>
    <xf numFmtId="3" fontId="7" fillId="6" borderId="147" xfId="0" applyNumberFormat="1" applyFont="1" applyFill="1" applyBorder="1" applyAlignment="1">
      <alignment vertical="center"/>
    </xf>
    <xf numFmtId="175" fontId="7" fillId="6" borderId="198" xfId="0" applyNumberFormat="1" applyFont="1" applyFill="1" applyBorder="1" applyAlignment="1" applyProtection="1">
      <alignment vertical="center"/>
      <protection locked="0"/>
    </xf>
    <xf numFmtId="175" fontId="7" fillId="6" borderId="200" xfId="0" applyNumberFormat="1" applyFont="1" applyFill="1" applyBorder="1" applyAlignment="1" applyProtection="1">
      <alignment vertical="center"/>
      <protection locked="0"/>
    </xf>
    <xf numFmtId="175" fontId="7" fillId="6" borderId="189" xfId="0" applyNumberFormat="1" applyFont="1" applyFill="1" applyBorder="1" applyAlignment="1" applyProtection="1">
      <alignment vertical="center"/>
      <protection locked="0"/>
    </xf>
    <xf numFmtId="175" fontId="7" fillId="6" borderId="201" xfId="0" applyNumberFormat="1" applyFont="1" applyFill="1" applyBorder="1" applyAlignment="1" applyProtection="1">
      <alignment vertical="center"/>
      <protection locked="0"/>
    </xf>
    <xf numFmtId="3" fontId="7" fillId="0" borderId="8" xfId="0" applyNumberFormat="1" applyFont="1" applyFill="1" applyBorder="1" applyAlignment="1">
      <alignment vertical="center"/>
    </xf>
    <xf numFmtId="175" fontId="7" fillId="0" borderId="199" xfId="0" applyNumberFormat="1" applyFont="1" applyFill="1" applyBorder="1" applyAlignment="1">
      <alignment vertical="center"/>
    </xf>
    <xf numFmtId="175" fontId="7" fillId="0" borderId="191" xfId="0" applyNumberFormat="1" applyFont="1" applyFill="1" applyBorder="1" applyAlignment="1">
      <alignment vertical="center"/>
    </xf>
    <xf numFmtId="175" fontId="7" fillId="0" borderId="130" xfId="0" applyNumberFormat="1" applyFont="1" applyFill="1" applyBorder="1" applyAlignment="1">
      <alignment vertical="center"/>
    </xf>
    <xf numFmtId="167" fontId="7" fillId="0" borderId="139" xfId="0" applyNumberFormat="1" applyFont="1" applyFill="1" applyBorder="1" applyAlignment="1">
      <alignment horizontal="right" vertical="center"/>
    </xf>
    <xf numFmtId="3" fontId="7" fillId="6" borderId="131" xfId="0" applyNumberFormat="1" applyFont="1" applyFill="1" applyBorder="1" applyAlignment="1">
      <alignment horizontal="right" vertical="center"/>
    </xf>
    <xf numFmtId="175" fontId="7" fillId="6" borderId="189" xfId="0" applyNumberFormat="1" applyFont="1" applyFill="1" applyBorder="1" applyAlignment="1" applyProtection="1">
      <alignment horizontal="right" vertical="center"/>
      <protection locked="0"/>
    </xf>
    <xf numFmtId="175" fontId="12" fillId="3" borderId="35" xfId="7" applyNumberFormat="1" applyFont="1" applyFill="1" applyBorder="1" applyProtection="1">
      <alignment vertical="center"/>
      <protection locked="0"/>
    </xf>
    <xf numFmtId="175" fontId="20" fillId="0" borderId="35" xfId="7" applyNumberFormat="1" applyFont="1" applyFill="1" applyBorder="1" applyProtection="1">
      <alignment vertical="center"/>
      <protection locked="0"/>
    </xf>
    <xf numFmtId="175" fontId="20" fillId="0" borderId="211" xfId="7" applyNumberFormat="1" applyFont="1" applyFill="1" applyBorder="1" applyProtection="1">
      <alignment vertical="center"/>
      <protection locked="0"/>
    </xf>
    <xf numFmtId="175" fontId="20" fillId="0" borderId="71" xfId="7" applyNumberFormat="1" applyFont="1" applyFill="1" applyBorder="1" applyProtection="1">
      <alignment vertical="center"/>
      <protection locked="0"/>
    </xf>
    <xf numFmtId="175" fontId="20" fillId="0" borderId="212" xfId="7" applyNumberFormat="1" applyFont="1" applyFill="1" applyBorder="1" applyProtection="1">
      <alignment vertical="center"/>
      <protection locked="0"/>
    </xf>
    <xf numFmtId="175" fontId="12" fillId="3" borderId="57" xfId="7" applyNumberFormat="1" applyFont="1" applyFill="1" applyBorder="1" applyProtection="1">
      <alignment vertical="center"/>
      <protection locked="0"/>
    </xf>
    <xf numFmtId="175" fontId="20" fillId="0" borderId="57" xfId="7" applyNumberFormat="1" applyFont="1" applyFill="1" applyBorder="1" applyProtection="1">
      <alignment vertical="center"/>
      <protection locked="0"/>
    </xf>
    <xf numFmtId="175" fontId="20" fillId="0" borderId="75" xfId="7" applyNumberFormat="1" applyFont="1" applyFill="1" applyBorder="1" applyProtection="1">
      <alignment vertical="center"/>
      <protection locked="0"/>
    </xf>
    <xf numFmtId="171" fontId="12" fillId="5" borderId="63" xfId="7" applyNumberFormat="1" applyFont="1" applyFill="1" applyBorder="1" applyProtection="1">
      <alignment vertical="center"/>
      <protection locked="0"/>
    </xf>
    <xf numFmtId="171" fontId="13" fillId="3" borderId="53" xfId="7" applyNumberFormat="1" applyFont="1" applyFill="1" applyBorder="1" applyProtection="1">
      <alignment vertical="center"/>
      <protection locked="0"/>
    </xf>
    <xf numFmtId="165" fontId="18" fillId="3" borderId="105" xfId="7" applyNumberFormat="1" applyFont="1" applyFill="1" applyBorder="1" applyAlignment="1" applyProtection="1">
      <alignment horizontal="right" vertical="center"/>
      <protection locked="0"/>
    </xf>
    <xf numFmtId="165" fontId="18" fillId="3" borderId="213" xfId="7" applyNumberFormat="1" applyFont="1" applyFill="1" applyBorder="1" applyAlignment="1" applyProtection="1">
      <alignment horizontal="right" vertical="center"/>
      <protection locked="0"/>
    </xf>
    <xf numFmtId="165" fontId="18" fillId="3" borderId="119" xfId="7" applyNumberFormat="1" applyFont="1" applyFill="1" applyBorder="1" applyAlignment="1" applyProtection="1">
      <alignment horizontal="right" vertical="center"/>
      <protection locked="0"/>
    </xf>
    <xf numFmtId="165" fontId="19" fillId="0" borderId="5" xfId="7" applyNumberFormat="1" applyFont="1" applyBorder="1" applyAlignment="1">
      <alignment horizontal="right" vertical="center"/>
    </xf>
    <xf numFmtId="170" fontId="13" fillId="1" borderId="42" xfId="7" applyNumberFormat="1" applyFont="1" applyFill="1" applyBorder="1">
      <alignment vertical="center"/>
    </xf>
    <xf numFmtId="170" fontId="13" fillId="1" borderId="53" xfId="7" applyNumberFormat="1" applyFont="1" applyFill="1" applyBorder="1">
      <alignment vertical="center"/>
    </xf>
    <xf numFmtId="175" fontId="12" fillId="3" borderId="119" xfId="7" applyNumberFormat="1" applyFont="1" applyFill="1" applyBorder="1" applyProtection="1">
      <alignment vertical="center"/>
      <protection locked="0"/>
    </xf>
    <xf numFmtId="175" fontId="20" fillId="0" borderId="119" xfId="7" applyNumberFormat="1" applyFont="1" applyFill="1" applyBorder="1" applyProtection="1">
      <alignment vertical="center"/>
      <protection locked="0"/>
    </xf>
    <xf numFmtId="175" fontId="20" fillId="0" borderId="214" xfId="7" applyNumberFormat="1" applyFont="1" applyFill="1" applyBorder="1" applyProtection="1">
      <alignment vertical="center"/>
      <protection locked="0"/>
    </xf>
    <xf numFmtId="171" fontId="12" fillId="5" borderId="188" xfId="7" applyNumberFormat="1" applyFont="1" applyFill="1" applyBorder="1" applyProtection="1">
      <alignment vertical="center"/>
      <protection locked="0"/>
    </xf>
    <xf numFmtId="171" fontId="13" fillId="3" borderId="146" xfId="7" applyNumberFormat="1" applyFont="1" applyFill="1" applyBorder="1" applyProtection="1">
      <alignment vertical="center"/>
      <protection locked="0"/>
    </xf>
    <xf numFmtId="165" fontId="18" fillId="3" borderId="215" xfId="7" applyNumberFormat="1" applyFont="1" applyFill="1" applyBorder="1" applyAlignment="1" applyProtection="1">
      <alignment horizontal="right" vertical="center"/>
      <protection locked="0"/>
    </xf>
    <xf numFmtId="0" fontId="13" fillId="1" borderId="38" xfId="10" applyFont="1" applyFill="1" applyBorder="1">
      <alignment vertical="center"/>
    </xf>
    <xf numFmtId="0" fontId="13" fillId="1" borderId="39" xfId="10" applyFont="1" applyFill="1" applyBorder="1">
      <alignment vertical="center"/>
    </xf>
    <xf numFmtId="0" fontId="13" fillId="1" borderId="42" xfId="10" applyFont="1" applyFill="1" applyBorder="1">
      <alignment vertical="center"/>
    </xf>
    <xf numFmtId="0" fontId="13" fillId="1" borderId="40" xfId="10" applyFont="1" applyFill="1" applyBorder="1">
      <alignment vertical="center"/>
    </xf>
    <xf numFmtId="175" fontId="16" fillId="0" borderId="216" xfId="7" applyNumberFormat="1" applyFont="1" applyFill="1" applyBorder="1" applyProtection="1">
      <alignment vertical="center"/>
      <protection locked="0"/>
    </xf>
    <xf numFmtId="175" fontId="16" fillId="0" borderId="217" xfId="7" applyNumberFormat="1" applyFont="1" applyFill="1" applyBorder="1" applyProtection="1">
      <alignment vertical="center"/>
      <protection locked="0"/>
    </xf>
    <xf numFmtId="175" fontId="16" fillId="0" borderId="218" xfId="7" applyNumberFormat="1" applyFont="1" applyFill="1" applyBorder="1" applyProtection="1">
      <alignment vertical="center"/>
      <protection locked="0"/>
    </xf>
    <xf numFmtId="175" fontId="16" fillId="0" borderId="219" xfId="7" applyNumberFormat="1" applyFont="1" applyFill="1" applyBorder="1" applyProtection="1">
      <alignment vertical="center"/>
      <protection locked="0"/>
    </xf>
    <xf numFmtId="175" fontId="16" fillId="0" borderId="220" xfId="7" applyNumberFormat="1" applyFont="1" applyFill="1" applyBorder="1" applyProtection="1">
      <alignment vertical="center"/>
      <protection locked="0"/>
    </xf>
    <xf numFmtId="175" fontId="16" fillId="0" borderId="83" xfId="7" applyNumberFormat="1" applyFont="1" applyFill="1" applyBorder="1" applyProtection="1">
      <alignment vertical="center"/>
      <protection locked="0"/>
    </xf>
    <xf numFmtId="175" fontId="16" fillId="0" borderId="221" xfId="7" applyNumberFormat="1" applyFont="1" applyFill="1" applyBorder="1" applyProtection="1">
      <alignment vertical="center"/>
      <protection locked="0"/>
    </xf>
    <xf numFmtId="175" fontId="16" fillId="0" borderId="158" xfId="7" applyNumberFormat="1" applyFont="1" applyFill="1" applyBorder="1" applyProtection="1">
      <alignment vertical="center"/>
      <protection locked="0"/>
    </xf>
    <xf numFmtId="0" fontId="13" fillId="3" borderId="108" xfId="7" applyFont="1" applyFill="1" applyBorder="1" applyProtection="1">
      <alignment vertical="center"/>
      <protection locked="0"/>
    </xf>
    <xf numFmtId="0" fontId="13" fillId="3" borderId="222" xfId="7" applyFont="1" applyFill="1" applyBorder="1" applyProtection="1">
      <alignment vertical="center"/>
      <protection locked="0"/>
    </xf>
    <xf numFmtId="175" fontId="7" fillId="6" borderId="223" xfId="0" applyNumberFormat="1" applyFont="1" applyFill="1" applyBorder="1" applyAlignment="1" applyProtection="1">
      <alignment vertical="center"/>
      <protection locked="0"/>
    </xf>
    <xf numFmtId="175" fontId="37" fillId="6" borderId="223" xfId="0" applyNumberFormat="1" applyFont="1" applyFill="1" applyBorder="1" applyAlignment="1" applyProtection="1">
      <alignment vertical="center"/>
      <protection locked="0"/>
    </xf>
    <xf numFmtId="175" fontId="7" fillId="6" borderId="223" xfId="0" applyNumberFormat="1" applyFont="1" applyFill="1" applyBorder="1" applyAlignment="1" applyProtection="1">
      <alignment horizontal="right" vertical="center"/>
      <protection locked="0"/>
    </xf>
    <xf numFmtId="175" fontId="7" fillId="6" borderId="133" xfId="0" applyNumberFormat="1" applyFont="1" applyFill="1" applyBorder="1" applyAlignment="1" applyProtection="1">
      <alignment vertical="center"/>
      <protection locked="0"/>
    </xf>
    <xf numFmtId="175" fontId="37" fillId="6" borderId="134" xfId="0" applyNumberFormat="1" applyFont="1" applyFill="1" applyBorder="1" applyAlignment="1" applyProtection="1">
      <alignment vertical="center"/>
      <protection locked="0"/>
    </xf>
    <xf numFmtId="175" fontId="37" fillId="6" borderId="133" xfId="0" applyNumberFormat="1" applyFont="1" applyFill="1" applyBorder="1" applyAlignment="1" applyProtection="1">
      <alignment vertical="center"/>
      <protection locked="0"/>
    </xf>
    <xf numFmtId="175" fontId="37" fillId="0" borderId="223" xfId="0" applyNumberFormat="1" applyFont="1" applyBorder="1" applyAlignment="1">
      <alignment vertical="center"/>
    </xf>
    <xf numFmtId="175" fontId="37" fillId="0" borderId="130" xfId="0" applyNumberFormat="1" applyFont="1" applyBorder="1" applyAlignment="1">
      <alignment vertical="center"/>
    </xf>
    <xf numFmtId="175" fontId="37" fillId="0" borderId="20" xfId="0" applyNumberFormat="1" applyFont="1" applyBorder="1" applyAlignment="1">
      <alignment vertical="center"/>
    </xf>
    <xf numFmtId="175" fontId="7" fillId="0" borderId="154" xfId="0" applyNumberFormat="1" applyFont="1" applyBorder="1" applyAlignment="1">
      <alignment vertical="center"/>
    </xf>
    <xf numFmtId="175" fontId="7" fillId="0" borderId="223" xfId="0" applyNumberFormat="1" applyFont="1" applyBorder="1" applyAlignment="1">
      <alignment vertical="center"/>
    </xf>
    <xf numFmtId="175" fontId="7" fillId="0" borderId="129" xfId="0" applyNumberFormat="1" applyFont="1" applyBorder="1" applyAlignment="1">
      <alignment vertical="center"/>
    </xf>
    <xf numFmtId="175" fontId="7" fillId="0" borderId="133" xfId="0" applyNumberFormat="1" applyFont="1" applyBorder="1" applyAlignment="1">
      <alignment vertical="center"/>
    </xf>
    <xf numFmtId="175" fontId="7" fillId="0" borderId="111" xfId="0" applyNumberFormat="1" applyFont="1" applyBorder="1" applyAlignment="1">
      <alignment vertical="center"/>
    </xf>
    <xf numFmtId="175" fontId="7" fillId="0" borderId="137" xfId="0" applyNumberFormat="1" applyFont="1" applyBorder="1" applyAlignment="1">
      <alignment vertical="center"/>
    </xf>
    <xf numFmtId="175" fontId="37" fillId="6" borderId="133" xfId="0" applyNumberFormat="1" applyFont="1" applyFill="1" applyBorder="1" applyAlignment="1" applyProtection="1">
      <alignment horizontal="right" vertical="center"/>
      <protection locked="0"/>
    </xf>
    <xf numFmtId="175" fontId="16" fillId="0" borderId="35" xfId="7" applyNumberFormat="1" applyFont="1" applyBorder="1">
      <alignment vertical="center"/>
    </xf>
    <xf numFmtId="3" fontId="7" fillId="0" borderId="129" xfId="0" applyNumberFormat="1" applyFont="1" applyFill="1" applyBorder="1" applyAlignment="1">
      <alignment vertical="center"/>
    </xf>
    <xf numFmtId="3" fontId="7" fillId="0" borderId="133" xfId="0" applyNumberFormat="1" applyFont="1" applyFill="1" applyBorder="1" applyAlignment="1">
      <alignment vertical="center"/>
    </xf>
    <xf numFmtId="3" fontId="7" fillId="0" borderId="137" xfId="0" applyNumberFormat="1" applyFont="1" applyFill="1" applyBorder="1" applyAlignment="1">
      <alignment vertical="center"/>
    </xf>
    <xf numFmtId="169" fontId="7" fillId="0" borderId="154" xfId="0" applyNumberFormat="1" applyFont="1" applyFill="1" applyBorder="1" applyAlignment="1" applyProtection="1">
      <alignment vertical="center"/>
      <protection locked="0"/>
    </xf>
    <xf numFmtId="175" fontId="7" fillId="0" borderId="223" xfId="0" applyNumberFormat="1" applyFont="1" applyFill="1" applyBorder="1" applyAlignment="1" applyProtection="1">
      <alignment vertical="center"/>
      <protection locked="0"/>
    </xf>
    <xf numFmtId="175" fontId="7" fillId="0" borderId="200" xfId="0" applyNumberFormat="1" applyFont="1" applyFill="1" applyBorder="1" applyAlignment="1" applyProtection="1">
      <alignment vertical="center"/>
      <protection locked="0"/>
    </xf>
    <xf numFmtId="175" fontId="7" fillId="0" borderId="223" xfId="0" applyNumberFormat="1" applyFont="1" applyFill="1" applyBorder="1" applyAlignment="1" applyProtection="1">
      <alignment horizontal="right" vertical="center"/>
      <protection locked="0"/>
    </xf>
    <xf numFmtId="175" fontId="7" fillId="0" borderId="133" xfId="0" applyNumberFormat="1" applyFont="1" applyFill="1" applyBorder="1" applyAlignment="1" applyProtection="1">
      <alignment vertical="center"/>
      <protection locked="0"/>
    </xf>
    <xf numFmtId="175" fontId="7" fillId="0" borderId="189" xfId="0" applyNumberFormat="1" applyFont="1" applyFill="1" applyBorder="1" applyAlignment="1" applyProtection="1">
      <alignment vertical="center"/>
      <protection locked="0"/>
    </xf>
    <xf numFmtId="175" fontId="7" fillId="0" borderId="201" xfId="0" applyNumberFormat="1" applyFont="1" applyFill="1" applyBorder="1" applyAlignment="1" applyProtection="1">
      <alignment vertical="center"/>
      <protection locked="0"/>
    </xf>
    <xf numFmtId="167" fontId="7" fillId="0" borderId="111" xfId="0" applyNumberFormat="1" applyFont="1" applyFill="1" applyBorder="1" applyAlignment="1">
      <alignment horizontal="right" vertical="center"/>
    </xf>
    <xf numFmtId="175" fontId="7" fillId="0" borderId="223" xfId="0" applyNumberFormat="1" applyFont="1" applyFill="1" applyBorder="1" applyAlignment="1">
      <alignment vertical="center"/>
    </xf>
    <xf numFmtId="175" fontId="7" fillId="0" borderId="134" xfId="0" applyNumberFormat="1" applyFont="1" applyFill="1" applyBorder="1" applyAlignment="1" applyProtection="1">
      <alignment vertical="center"/>
      <protection locked="0"/>
    </xf>
    <xf numFmtId="175" fontId="7" fillId="0" borderId="20" xfId="0" applyNumberFormat="1" applyFont="1" applyFill="1" applyBorder="1" applyAlignment="1">
      <alignment vertical="center"/>
    </xf>
    <xf numFmtId="0" fontId="7" fillId="0" borderId="201" xfId="0" applyFont="1" applyBorder="1" applyAlignment="1">
      <alignment horizontal="center" vertical="center"/>
    </xf>
    <xf numFmtId="3" fontId="7" fillId="0" borderId="191" xfId="0" applyNumberFormat="1" applyFont="1" applyFill="1" applyBorder="1" applyAlignment="1">
      <alignment vertical="center"/>
    </xf>
    <xf numFmtId="3" fontId="7" fillId="0" borderId="189" xfId="0" applyNumberFormat="1" applyFont="1" applyFill="1" applyBorder="1" applyAlignment="1">
      <alignment vertical="center"/>
    </xf>
    <xf numFmtId="3" fontId="7" fillId="0" borderId="201" xfId="0" applyNumberFormat="1" applyFont="1" applyFill="1" applyBorder="1" applyAlignment="1">
      <alignment vertical="center"/>
    </xf>
    <xf numFmtId="175" fontId="7" fillId="0" borderId="224" xfId="0" applyNumberFormat="1" applyFont="1" applyFill="1" applyBorder="1" applyAlignment="1" applyProtection="1">
      <alignment vertical="center"/>
      <protection locked="0"/>
    </xf>
    <xf numFmtId="175" fontId="7" fillId="0" borderId="200" xfId="0" applyNumberFormat="1" applyFont="1" applyFill="1" applyBorder="1" applyAlignment="1">
      <alignment vertical="center"/>
    </xf>
    <xf numFmtId="167" fontId="7" fillId="0" borderId="19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5" fontId="7" fillId="0" borderId="129" xfId="0" applyNumberFormat="1" applyFont="1" applyFill="1" applyBorder="1" applyAlignment="1">
      <alignment vertical="center"/>
    </xf>
    <xf numFmtId="167" fontId="7" fillId="0" borderId="149" xfId="0" applyNumberFormat="1" applyFont="1" applyFill="1" applyBorder="1" applyAlignment="1">
      <alignment horizontal="right" vertical="center"/>
    </xf>
    <xf numFmtId="175" fontId="7" fillId="0" borderId="133" xfId="0" applyNumberFormat="1" applyFont="1" applyFill="1" applyBorder="1" applyAlignment="1" applyProtection="1">
      <alignment horizontal="right" vertical="center"/>
      <protection locked="0"/>
    </xf>
    <xf numFmtId="0" fontId="6" fillId="0" borderId="25" xfId="9" applyFont="1" applyBorder="1" applyAlignment="1">
      <alignment horizontal="center" vertical="center"/>
    </xf>
    <xf numFmtId="165" fontId="18" fillId="3" borderId="97" xfId="7" applyNumberFormat="1" applyFont="1" applyFill="1" applyBorder="1" applyAlignment="1" applyProtection="1">
      <alignment horizontal="right" vertical="center"/>
      <protection locked="0"/>
    </xf>
    <xf numFmtId="165" fontId="18" fillId="3" borderId="55" xfId="7" applyNumberFormat="1" applyFont="1" applyFill="1" applyBorder="1" applyAlignment="1" applyProtection="1">
      <alignment horizontal="right" vertical="center"/>
      <protection locked="0"/>
    </xf>
    <xf numFmtId="175" fontId="13" fillId="3" borderId="44" xfId="7" applyNumberFormat="1" applyFont="1" applyFill="1" applyBorder="1" applyProtection="1">
      <alignment vertical="center"/>
      <protection locked="0"/>
    </xf>
    <xf numFmtId="175" fontId="13" fillId="3" borderId="45" xfId="7" applyNumberFormat="1" applyFont="1" applyFill="1" applyBorder="1" applyProtection="1">
      <alignment vertical="center"/>
      <protection locked="0"/>
    </xf>
    <xf numFmtId="175" fontId="13" fillId="3" borderId="46" xfId="7" applyNumberFormat="1" applyFont="1" applyFill="1" applyBorder="1" applyProtection="1">
      <alignment vertical="center"/>
      <protection locked="0"/>
    </xf>
    <xf numFmtId="171" fontId="13" fillId="3" borderId="202" xfId="7" applyNumberFormat="1" applyFont="1" applyFill="1" applyBorder="1" applyProtection="1">
      <alignment vertical="center"/>
      <protection locked="0"/>
    </xf>
    <xf numFmtId="175" fontId="13" fillId="1" borderId="38" xfId="7" applyNumberFormat="1" applyFont="1" applyFill="1" applyBorder="1">
      <alignment vertical="center"/>
    </xf>
    <xf numFmtId="175" fontId="13" fillId="1" borderId="39" xfId="7" applyNumberFormat="1" applyFont="1" applyFill="1" applyBorder="1">
      <alignment vertical="center"/>
    </xf>
    <xf numFmtId="175" fontId="13" fillId="1" borderId="40" xfId="7" applyNumberFormat="1" applyFont="1" applyFill="1" applyBorder="1">
      <alignment vertical="center"/>
    </xf>
    <xf numFmtId="170" fontId="13" fillId="1" borderId="203" xfId="7" applyNumberFormat="1" applyFont="1" applyFill="1" applyBorder="1">
      <alignment vertical="center"/>
    </xf>
    <xf numFmtId="175" fontId="13" fillId="1" borderId="49" xfId="7" applyNumberFormat="1" applyFont="1" applyFill="1" applyBorder="1">
      <alignment vertical="center"/>
    </xf>
    <xf numFmtId="175" fontId="13" fillId="1" borderId="50" xfId="7" applyNumberFormat="1" applyFont="1" applyFill="1" applyBorder="1">
      <alignment vertical="center"/>
    </xf>
    <xf numFmtId="175" fontId="13" fillId="1" borderId="51" xfId="7" applyNumberFormat="1" applyFont="1" applyFill="1" applyBorder="1">
      <alignment vertical="center"/>
    </xf>
    <xf numFmtId="170" fontId="13" fillId="1" borderId="204" xfId="7" applyNumberFormat="1" applyFont="1" applyFill="1" applyBorder="1">
      <alignment vertical="center"/>
    </xf>
    <xf numFmtId="175" fontId="12" fillId="3" borderId="60" xfId="7" applyNumberFormat="1" applyFont="1" applyFill="1" applyBorder="1" applyProtection="1">
      <alignment vertical="center"/>
      <protection locked="0"/>
    </xf>
    <xf numFmtId="175" fontId="12" fillId="3" borderId="49" xfId="7" applyNumberFormat="1" applyFont="1" applyFill="1" applyBorder="1" applyProtection="1">
      <alignment vertical="center"/>
      <protection locked="0"/>
    </xf>
    <xf numFmtId="175" fontId="12" fillId="3" borderId="50" xfId="7" applyNumberFormat="1" applyFont="1" applyFill="1" applyBorder="1" applyProtection="1">
      <alignment vertical="center"/>
      <protection locked="0"/>
    </xf>
    <xf numFmtId="175" fontId="12" fillId="3" borderId="51" xfId="7" applyNumberFormat="1" applyFont="1" applyFill="1" applyBorder="1" applyProtection="1">
      <alignment vertical="center"/>
      <protection locked="0"/>
    </xf>
    <xf numFmtId="171" fontId="12" fillId="3" borderId="204" xfId="7" applyNumberFormat="1" applyFont="1" applyFill="1" applyBorder="1" applyProtection="1">
      <alignment vertical="center"/>
      <protection locked="0"/>
    </xf>
    <xf numFmtId="175" fontId="12" fillId="1" borderId="49" xfId="7" applyNumberFormat="1" applyFont="1" applyFill="1" applyBorder="1">
      <alignment vertical="center"/>
    </xf>
    <xf numFmtId="175" fontId="12" fillId="1" borderId="50" xfId="7" applyNumberFormat="1" applyFont="1" applyFill="1" applyBorder="1">
      <alignment vertical="center"/>
    </xf>
    <xf numFmtId="175" fontId="12" fillId="1" borderId="51" xfId="7" applyNumberFormat="1" applyFont="1" applyFill="1" applyBorder="1">
      <alignment vertical="center"/>
    </xf>
    <xf numFmtId="171" fontId="12" fillId="1" borderId="204" xfId="7" applyNumberFormat="1" applyFont="1" applyFill="1" applyBorder="1">
      <alignment vertical="center"/>
    </xf>
    <xf numFmtId="175" fontId="12" fillId="3" borderId="56" xfId="7" applyNumberFormat="1" applyFont="1" applyFill="1" applyBorder="1" applyProtection="1">
      <alignment vertical="center"/>
      <protection locked="0"/>
    </xf>
    <xf numFmtId="175" fontId="19" fillId="3" borderId="66" xfId="7" applyNumberFormat="1" applyFont="1" applyFill="1" applyBorder="1" applyProtection="1">
      <alignment vertical="center"/>
      <protection locked="0"/>
    </xf>
    <xf numFmtId="175" fontId="19" fillId="3" borderId="67" xfId="7" applyNumberFormat="1" applyFont="1" applyFill="1" applyBorder="1" applyProtection="1">
      <alignment vertical="center"/>
      <protection locked="0"/>
    </xf>
    <xf numFmtId="175" fontId="19" fillId="3" borderId="68" xfId="7" applyNumberFormat="1" applyFont="1" applyFill="1" applyBorder="1" applyProtection="1">
      <alignment vertical="center"/>
      <protection locked="0"/>
    </xf>
    <xf numFmtId="171" fontId="19" fillId="3" borderId="94" xfId="7" applyNumberFormat="1" applyFont="1" applyFill="1" applyBorder="1" applyProtection="1">
      <alignment vertical="center"/>
      <protection locked="0"/>
    </xf>
    <xf numFmtId="175" fontId="13" fillId="3" borderId="77" xfId="7" applyNumberFormat="1" applyFont="1" applyFill="1" applyBorder="1" applyProtection="1">
      <alignment vertical="center"/>
      <protection locked="0"/>
    </xf>
    <xf numFmtId="175" fontId="13" fillId="3" borderId="78" xfId="7" applyNumberFormat="1" applyFont="1" applyFill="1" applyBorder="1" applyProtection="1">
      <alignment vertical="center"/>
      <protection locked="0"/>
    </xf>
    <xf numFmtId="175" fontId="13" fillId="3" borderId="79" xfId="7" applyNumberFormat="1" applyFont="1" applyFill="1" applyBorder="1" applyProtection="1">
      <alignment vertical="center"/>
      <protection locked="0"/>
    </xf>
    <xf numFmtId="171" fontId="12" fillId="3" borderId="205" xfId="7" applyNumberFormat="1" applyFont="1" applyFill="1" applyBorder="1" applyProtection="1">
      <alignment vertical="center"/>
      <protection locked="0"/>
    </xf>
    <xf numFmtId="175" fontId="12" fillId="5" borderId="59" xfId="7" applyNumberFormat="1" applyFont="1" applyFill="1" applyBorder="1" applyProtection="1">
      <alignment vertical="center"/>
      <protection locked="0"/>
    </xf>
    <xf numFmtId="175" fontId="12" fillId="5" borderId="108" xfId="7" applyNumberFormat="1" applyFont="1" applyFill="1" applyBorder="1" applyProtection="1">
      <alignment vertical="center"/>
      <protection locked="0"/>
    </xf>
    <xf numFmtId="175" fontId="12" fillId="5" borderId="91" xfId="7" applyNumberFormat="1" applyFont="1" applyFill="1" applyBorder="1" applyProtection="1">
      <alignment vertical="center"/>
      <protection locked="0"/>
    </xf>
    <xf numFmtId="175" fontId="12" fillId="5" borderId="92" xfId="7" applyNumberFormat="1" applyFont="1" applyFill="1" applyBorder="1" applyProtection="1">
      <alignment vertical="center"/>
      <protection locked="0"/>
    </xf>
    <xf numFmtId="171" fontId="12" fillId="5" borderId="206" xfId="7" applyNumberFormat="1" applyFont="1" applyFill="1" applyBorder="1" applyProtection="1">
      <alignment vertical="center"/>
      <protection locked="0"/>
    </xf>
    <xf numFmtId="175" fontId="20" fillId="0" borderId="35" xfId="7" applyNumberFormat="1" applyFont="1" applyBorder="1">
      <alignment vertical="center"/>
    </xf>
    <xf numFmtId="175" fontId="20" fillId="0" borderId="55" xfId="7" applyNumberFormat="1" applyFont="1" applyBorder="1">
      <alignment vertical="center"/>
    </xf>
    <xf numFmtId="175" fontId="13" fillId="1" borderId="85" xfId="10" applyNumberFormat="1" applyFont="1" applyFill="1" applyBorder="1">
      <alignment vertical="center"/>
    </xf>
    <xf numFmtId="175" fontId="13" fillId="1" borderId="86" xfId="10" applyNumberFormat="1" applyFont="1" applyFill="1" applyBorder="1">
      <alignment vertical="center"/>
    </xf>
    <xf numFmtId="0" fontId="13" fillId="1" borderId="207" xfId="10" applyFont="1" applyFill="1" applyBorder="1">
      <alignment vertical="center"/>
    </xf>
    <xf numFmtId="0" fontId="13" fillId="1" borderId="204" xfId="7" applyFont="1" applyFill="1" applyBorder="1">
      <alignment vertical="center"/>
    </xf>
    <xf numFmtId="175" fontId="13" fillId="3" borderId="90" xfId="7" applyNumberFormat="1" applyFont="1" applyFill="1" applyBorder="1" applyProtection="1">
      <alignment vertical="center"/>
      <protection locked="0"/>
    </xf>
    <xf numFmtId="175" fontId="13" fillId="3" borderId="91" xfId="7" applyNumberFormat="1" applyFont="1" applyFill="1" applyBorder="1" applyProtection="1">
      <alignment vertical="center"/>
      <protection locked="0"/>
    </xf>
    <xf numFmtId="0" fontId="13" fillId="3" borderId="206" xfId="7" applyFont="1" applyFill="1" applyBorder="1" applyProtection="1">
      <alignment vertical="center"/>
      <protection locked="0"/>
    </xf>
    <xf numFmtId="0" fontId="13" fillId="0" borderId="203" xfId="7" applyFont="1" applyBorder="1" applyProtection="1">
      <alignment vertical="center"/>
      <protection locked="0"/>
    </xf>
    <xf numFmtId="0" fontId="13" fillId="0" borderId="204" xfId="7" applyFont="1" applyBorder="1" applyProtection="1">
      <alignment vertical="center"/>
      <protection locked="0"/>
    </xf>
    <xf numFmtId="0" fontId="13" fillId="0" borderId="208" xfId="7" applyFont="1" applyBorder="1" applyProtection="1">
      <alignment vertical="center"/>
      <protection locked="0"/>
    </xf>
    <xf numFmtId="0" fontId="13" fillId="0" borderId="205" xfId="7" applyFont="1" applyBorder="1" applyProtection="1">
      <alignment vertical="center"/>
      <protection locked="0"/>
    </xf>
    <xf numFmtId="0" fontId="13" fillId="0" borderId="94" xfId="10" applyFont="1" applyBorder="1" applyProtection="1">
      <alignment vertical="center"/>
      <protection locked="0"/>
    </xf>
    <xf numFmtId="0" fontId="13" fillId="0" borderId="29" xfId="10" applyFont="1" applyBorder="1" applyProtection="1">
      <alignment vertical="center"/>
      <protection locked="0"/>
    </xf>
    <xf numFmtId="0" fontId="13" fillId="0" borderId="209" xfId="10" applyFont="1" applyBorder="1" applyProtection="1">
      <alignment vertical="center"/>
      <protection locked="0"/>
    </xf>
    <xf numFmtId="0" fontId="13" fillId="0" borderId="205" xfId="10" applyFont="1" applyBorder="1" applyProtection="1">
      <alignment vertical="center"/>
      <protection locked="0"/>
    </xf>
    <xf numFmtId="0" fontId="13" fillId="0" borderId="210" xfId="10" applyFont="1" applyBorder="1" applyProtection="1">
      <alignment vertical="center"/>
      <protection locked="0"/>
    </xf>
    <xf numFmtId="0" fontId="13" fillId="4" borderId="210" xfId="7" applyFont="1" applyFill="1" applyBorder="1" applyProtection="1">
      <alignment vertical="center"/>
      <protection locked="0"/>
    </xf>
    <xf numFmtId="165" fontId="13" fillId="3" borderId="193" xfId="7" applyNumberFormat="1" applyFont="1" applyFill="1" applyBorder="1" applyProtection="1">
      <alignment vertical="center"/>
      <protection locked="0"/>
    </xf>
    <xf numFmtId="165" fontId="13" fillId="3" borderId="106" xfId="7" applyNumberFormat="1" applyFont="1" applyFill="1" applyBorder="1" applyProtection="1">
      <alignment vertical="center"/>
      <protection locked="0"/>
    </xf>
    <xf numFmtId="165" fontId="13" fillId="3" borderId="107" xfId="7" applyNumberFormat="1" applyFont="1" applyFill="1" applyBorder="1" applyProtection="1">
      <alignment vertical="center"/>
      <protection locked="0"/>
    </xf>
    <xf numFmtId="165" fontId="13" fillId="3" borderId="194" xfId="7" applyNumberFormat="1" applyFont="1" applyFill="1" applyBorder="1" applyProtection="1">
      <alignment vertical="center"/>
      <protection locked="0"/>
    </xf>
    <xf numFmtId="0" fontId="6" fillId="0" borderId="0" xfId="7" applyFont="1" applyAlignment="1" applyProtection="1">
      <alignment horizontal="center" vertical="center"/>
      <protection locked="0"/>
    </xf>
    <xf numFmtId="0" fontId="1" fillId="0" borderId="0" xfId="7" applyFont="1" applyProtection="1">
      <alignment vertical="center"/>
      <protection locked="0"/>
    </xf>
    <xf numFmtId="172" fontId="16" fillId="0" borderId="41" xfId="7" applyNumberFormat="1" applyFont="1" applyBorder="1" applyAlignment="1">
      <alignment horizontal="right" vertical="center"/>
    </xf>
    <xf numFmtId="172" fontId="20" fillId="0" borderId="57" xfId="7" applyNumberFormat="1" applyFont="1" applyBorder="1">
      <alignment vertical="center"/>
    </xf>
    <xf numFmtId="172" fontId="16" fillId="0" borderId="36" xfId="7" applyNumberFormat="1" applyFont="1" applyBorder="1" applyAlignment="1">
      <alignment horizontal="right" vertical="center"/>
    </xf>
    <xf numFmtId="172" fontId="20" fillId="0" borderId="55" xfId="7" applyNumberFormat="1" applyFont="1" applyBorder="1">
      <alignment vertical="center"/>
    </xf>
    <xf numFmtId="172" fontId="20" fillId="0" borderId="56" xfId="7" applyNumberFormat="1" applyFont="1" applyBorder="1">
      <alignment vertical="center"/>
    </xf>
    <xf numFmtId="172" fontId="16" fillId="0" borderId="74" xfId="7" applyNumberFormat="1" applyFont="1" applyBorder="1" applyAlignment="1">
      <alignment horizontal="right" vertical="center"/>
    </xf>
    <xf numFmtId="175" fontId="16" fillId="0" borderId="35" xfId="7" applyNumberFormat="1" applyFont="1" applyFill="1" applyBorder="1" applyProtection="1">
      <alignment vertical="center"/>
      <protection locked="0"/>
    </xf>
    <xf numFmtId="17" fontId="16" fillId="0" borderId="26" xfId="7" applyNumberFormat="1" applyFont="1" applyBorder="1" applyAlignment="1">
      <alignment horizontal="center" vertical="center"/>
    </xf>
    <xf numFmtId="165" fontId="18" fillId="3" borderId="98" xfId="7" applyNumberFormat="1" applyFont="1" applyFill="1" applyBorder="1" applyAlignment="1" applyProtection="1">
      <alignment horizontal="right" vertical="center"/>
      <protection locked="0"/>
    </xf>
    <xf numFmtId="165" fontId="18" fillId="3" borderId="56" xfId="7" applyNumberFormat="1" applyFont="1" applyFill="1" applyBorder="1" applyAlignment="1" applyProtection="1">
      <alignment horizontal="right" vertical="center"/>
      <protection locked="0"/>
    </xf>
    <xf numFmtId="176" fontId="23" fillId="0" borderId="0" xfId="7" applyNumberFormat="1" applyFont="1" applyProtection="1">
      <alignment vertical="center"/>
      <protection locked="0"/>
    </xf>
    <xf numFmtId="174" fontId="7" fillId="0" borderId="152" xfId="0" applyNumberFormat="1" applyFont="1" applyBorder="1" applyAlignment="1">
      <alignment vertical="center"/>
    </xf>
    <xf numFmtId="2" fontId="6" fillId="0" borderId="0" xfId="7" applyNumberFormat="1" applyFont="1" applyProtection="1">
      <alignment vertical="center"/>
      <protection locked="0"/>
    </xf>
    <xf numFmtId="174" fontId="7" fillId="0" borderId="128" xfId="0" applyNumberFormat="1" applyFont="1" applyBorder="1" applyAlignment="1">
      <alignment horizontal="right" vertical="center"/>
    </xf>
    <xf numFmtId="0" fontId="6" fillId="4" borderId="41" xfId="7" applyFont="1" applyFill="1" applyBorder="1" applyAlignment="1" applyProtection="1">
      <alignment horizontal="center" vertical="center" textRotation="90"/>
      <protection locked="0"/>
    </xf>
    <xf numFmtId="0" fontId="17" fillId="0" borderId="231" xfId="7" applyFont="1" applyBorder="1" applyAlignment="1">
      <alignment horizontal="center" vertical="center" textRotation="90"/>
    </xf>
    <xf numFmtId="0" fontId="6" fillId="0" borderId="232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64" xfId="9" applyFont="1" applyBorder="1" applyAlignment="1">
      <alignment horizontal="center" vertical="center" textRotation="90" wrapText="1"/>
    </xf>
    <xf numFmtId="0" fontId="6" fillId="0" borderId="228" xfId="9" applyFont="1" applyBorder="1" applyAlignment="1">
      <alignment horizontal="center" vertical="center" textRotation="90" wrapText="1"/>
    </xf>
    <xf numFmtId="0" fontId="6" fillId="0" borderId="226" xfId="7" applyFont="1" applyBorder="1" applyAlignment="1">
      <alignment horizontal="center" vertical="center"/>
    </xf>
    <xf numFmtId="0" fontId="6" fillId="0" borderId="212" xfId="7" applyFont="1" applyBorder="1" applyAlignment="1">
      <alignment horizontal="center" vertical="center"/>
    </xf>
    <xf numFmtId="0" fontId="17" fillId="0" borderId="233" xfId="9" applyFont="1" applyBorder="1" applyAlignment="1">
      <alignment horizontal="center" vertical="center" textRotation="90" wrapText="1"/>
    </xf>
    <xf numFmtId="0" fontId="6" fillId="0" borderId="54" xfId="9" applyFont="1" applyBorder="1" applyAlignment="1">
      <alignment horizontal="center" vertical="center" textRotation="90" wrapText="1"/>
    </xf>
    <xf numFmtId="0" fontId="16" fillId="0" borderId="88" xfId="7" applyFont="1" applyBorder="1" applyAlignment="1">
      <alignment horizontal="center" vertical="center" wrapText="1"/>
    </xf>
    <xf numFmtId="0" fontId="16" fillId="0" borderId="84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58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27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26" xfId="10" applyFont="1" applyBorder="1" applyAlignment="1">
      <alignment horizontal="center" vertical="center" wrapText="1"/>
    </xf>
    <xf numFmtId="0" fontId="6" fillId="0" borderId="212" xfId="10" applyFont="1" applyBorder="1" applyAlignment="1">
      <alignment horizontal="center" vertical="center" wrapText="1"/>
    </xf>
    <xf numFmtId="0" fontId="6" fillId="0" borderId="37" xfId="9" applyFont="1" applyBorder="1" applyAlignment="1">
      <alignment horizontal="center" vertical="center"/>
    </xf>
    <xf numFmtId="0" fontId="6" fillId="0" borderId="234" xfId="9" applyFont="1" applyBorder="1" applyAlignment="1">
      <alignment horizontal="center" vertical="center"/>
    </xf>
    <xf numFmtId="0" fontId="6" fillId="0" borderId="225" xfId="7" applyFont="1" applyBorder="1" applyAlignment="1">
      <alignment horizontal="center" vertical="center"/>
    </xf>
    <xf numFmtId="0" fontId="6" fillId="0" borderId="143" xfId="7" applyFont="1" applyBorder="1" applyAlignment="1">
      <alignment horizontal="center" vertical="center"/>
    </xf>
    <xf numFmtId="0" fontId="6" fillId="0" borderId="192" xfId="7" applyFont="1" applyBorder="1" applyAlignment="1">
      <alignment horizontal="center" vertical="center"/>
    </xf>
    <xf numFmtId="0" fontId="29" fillId="3" borderId="16" xfId="9" applyFont="1" applyFill="1" applyBorder="1" applyAlignment="1" applyProtection="1">
      <alignment horizontal="center" vertical="center"/>
      <protection locked="0"/>
    </xf>
    <xf numFmtId="0" fontId="29" fillId="3" borderId="159" xfId="9" applyFont="1" applyFill="1" applyBorder="1" applyAlignment="1" applyProtection="1">
      <alignment horizontal="center" vertical="center"/>
      <protection locked="0"/>
    </xf>
    <xf numFmtId="0" fontId="29" fillId="3" borderId="227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58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168" xfId="7" applyFont="1" applyBorder="1" applyAlignment="1">
      <alignment horizontal="center" vertical="center" textRotation="90" wrapText="1"/>
    </xf>
    <xf numFmtId="0" fontId="6" fillId="0" borderId="64" xfId="7" applyFont="1" applyBorder="1" applyAlignment="1">
      <alignment horizontal="center" vertical="center" textRotation="90" wrapText="1"/>
    </xf>
    <xf numFmtId="0" fontId="6" fillId="0" borderId="228" xfId="7" applyFont="1" applyBorder="1" applyAlignment="1">
      <alignment horizontal="center" vertical="center" textRotation="90" wrapText="1"/>
    </xf>
    <xf numFmtId="0" fontId="30" fillId="0" borderId="54" xfId="10" applyFont="1" applyBorder="1" applyAlignment="1">
      <alignment horizontal="left" vertical="center" wrapText="1"/>
    </xf>
    <xf numFmtId="0" fontId="6" fillId="0" borderId="229" xfId="10" applyFont="1" applyBorder="1" applyAlignment="1">
      <alignment horizontal="left" vertical="center" wrapText="1"/>
    </xf>
    <xf numFmtId="0" fontId="6" fillId="0" borderId="230" xfId="10" applyFont="1" applyBorder="1" applyAlignment="1">
      <alignment horizontal="left" vertical="center"/>
    </xf>
    <xf numFmtId="0" fontId="6" fillId="0" borderId="64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6" fillId="3" borderId="16" xfId="9" applyFont="1" applyFill="1" applyBorder="1" applyAlignment="1" applyProtection="1">
      <alignment horizontal="center" vertical="center"/>
      <protection locked="0"/>
    </xf>
    <xf numFmtId="0" fontId="6" fillId="3" borderId="159" xfId="9" applyFont="1" applyFill="1" applyBorder="1" applyAlignment="1" applyProtection="1">
      <alignment horizontal="center" vertical="center"/>
      <protection locked="0"/>
    </xf>
    <xf numFmtId="0" fontId="6" fillId="3" borderId="227" xfId="9" applyFont="1" applyFill="1" applyBorder="1" applyAlignment="1" applyProtection="1">
      <alignment horizontal="center" vertical="center"/>
      <protection locked="0"/>
    </xf>
    <xf numFmtId="0" fontId="52" fillId="0" borderId="54" xfId="1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189" xfId="0" applyFont="1" applyBorder="1" applyAlignment="1">
      <alignment horizontal="left" vertical="center"/>
    </xf>
    <xf numFmtId="0" fontId="6" fillId="0" borderId="196" xfId="0" applyFont="1" applyBorder="1" applyAlignment="1">
      <alignment vertical="center"/>
    </xf>
    <xf numFmtId="3" fontId="7" fillId="6" borderId="134" xfId="0" applyNumberFormat="1" applyFont="1" applyFill="1" applyBorder="1" applyAlignment="1" applyProtection="1">
      <alignment vertical="center"/>
      <protection locked="0"/>
    </xf>
    <xf numFmtId="174" fontId="7" fillId="0" borderId="255" xfId="0" applyNumberFormat="1" applyFont="1" applyBorder="1" applyAlignment="1">
      <alignment horizontal="right" vertical="center"/>
    </xf>
    <xf numFmtId="174" fontId="7" fillId="0" borderId="257" xfId="0" applyNumberFormat="1" applyFont="1" applyBorder="1" applyAlignment="1">
      <alignment horizontal="right" vertical="center"/>
    </xf>
    <xf numFmtId="3" fontId="7" fillId="6" borderId="133" xfId="0" applyNumberFormat="1" applyFont="1" applyFill="1" applyBorder="1" applyAlignment="1" applyProtection="1">
      <alignment vertical="center"/>
      <protection locked="0"/>
    </xf>
    <xf numFmtId="0" fontId="7" fillId="0" borderId="2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39" xfId="0" applyFont="1" applyBorder="1" applyAlignment="1">
      <alignment horizontal="left" vertical="center"/>
    </xf>
    <xf numFmtId="0" fontId="7" fillId="0" borderId="251" xfId="0" applyFont="1" applyBorder="1" applyAlignment="1">
      <alignment horizontal="center" vertical="center"/>
    </xf>
    <xf numFmtId="0" fontId="5" fillId="0" borderId="246" xfId="0" applyFont="1" applyBorder="1" applyAlignment="1">
      <alignment horizontal="center" vertical="center"/>
    </xf>
    <xf numFmtId="3" fontId="7" fillId="6" borderId="130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>
      <alignment horizontal="center" vertical="center"/>
    </xf>
    <xf numFmtId="0" fontId="7" fillId="0" borderId="190" xfId="0" applyFont="1" applyBorder="1" applyAlignment="1">
      <alignment horizontal="left" vertical="center"/>
    </xf>
    <xf numFmtId="0" fontId="6" fillId="0" borderId="235" xfId="0" applyFont="1" applyBorder="1" applyAlignment="1">
      <alignment vertical="center"/>
    </xf>
    <xf numFmtId="174" fontId="7" fillId="0" borderId="156" xfId="0" applyNumberFormat="1" applyFont="1" applyBorder="1" applyAlignment="1">
      <alignment horizontal="right" vertical="center"/>
    </xf>
    <xf numFmtId="3" fontId="7" fillId="6" borderId="135" xfId="0" applyNumberFormat="1" applyFont="1" applyFill="1" applyBorder="1" applyAlignment="1" applyProtection="1">
      <alignment vertical="center"/>
      <protection locked="0"/>
    </xf>
    <xf numFmtId="0" fontId="7" fillId="0" borderId="145" xfId="0" applyFont="1" applyBorder="1" applyAlignment="1">
      <alignment vertical="center"/>
    </xf>
    <xf numFmtId="0" fontId="6" fillId="0" borderId="245" xfId="0" applyFont="1" applyBorder="1" applyAlignment="1">
      <alignment vertical="center"/>
    </xf>
    <xf numFmtId="0" fontId="6" fillId="0" borderId="1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1" xfId="0" applyFont="1" applyBorder="1" applyAlignment="1">
      <alignment horizontal="center" vertical="center" wrapText="1"/>
    </xf>
    <xf numFmtId="0" fontId="7" fillId="0" borderId="238" xfId="0" applyFont="1" applyBorder="1" applyAlignment="1">
      <alignment horizontal="left" vertical="center"/>
    </xf>
    <xf numFmtId="0" fontId="6" fillId="0" borderId="196" xfId="0" applyFont="1" applyBorder="1" applyAlignment="1">
      <alignment horizontal="left" vertical="center"/>
    </xf>
    <xf numFmtId="0" fontId="6" fillId="0" borderId="146" xfId="0" applyFont="1" applyBorder="1" applyAlignment="1">
      <alignment horizontal="left" vertical="center"/>
    </xf>
    <xf numFmtId="0" fontId="7" fillId="0" borderId="247" xfId="0" applyFont="1" applyBorder="1" applyAlignment="1">
      <alignment horizontal="left" vertical="center"/>
    </xf>
    <xf numFmtId="0" fontId="6" fillId="0" borderId="248" xfId="0" applyFont="1" applyBorder="1" applyAlignment="1">
      <alignment horizontal="left" vertical="center"/>
    </xf>
    <xf numFmtId="0" fontId="6" fillId="0" borderId="249" xfId="0" applyFont="1" applyBorder="1" applyAlignment="1">
      <alignment horizontal="left" vertical="center"/>
    </xf>
    <xf numFmtId="0" fontId="7" fillId="0" borderId="25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7" fillId="6" borderId="236" xfId="0" applyNumberFormat="1" applyFont="1" applyFill="1" applyBorder="1" applyAlignment="1" applyProtection="1">
      <alignment vertical="center"/>
      <protection locked="0"/>
    </xf>
    <xf numFmtId="3" fontId="7" fillId="6" borderId="11" xfId="0" applyNumberFormat="1" applyFont="1" applyFill="1" applyBorder="1" applyAlignment="1" applyProtection="1">
      <alignment vertical="center"/>
      <protection locked="0"/>
    </xf>
    <xf numFmtId="3" fontId="7" fillId="6" borderId="132" xfId="0" applyNumberFormat="1" applyFont="1" applyFill="1" applyBorder="1" applyAlignment="1" applyProtection="1">
      <alignment vertical="center"/>
      <protection locked="0"/>
    </xf>
    <xf numFmtId="3" fontId="7" fillId="6" borderId="253" xfId="0" applyNumberFormat="1" applyFont="1" applyFill="1" applyBorder="1" applyAlignment="1" applyProtection="1">
      <alignment vertical="center"/>
      <protection locked="0"/>
    </xf>
    <xf numFmtId="0" fontId="7" fillId="0" borderId="168" xfId="0" applyFont="1" applyBorder="1" applyAlignment="1">
      <alignment horizontal="center" vertical="center"/>
    </xf>
    <xf numFmtId="0" fontId="5" fillId="0" borderId="254" xfId="0" applyFont="1" applyBorder="1" applyAlignment="1">
      <alignment horizontal="center" vertical="center"/>
    </xf>
    <xf numFmtId="3" fontId="7" fillId="6" borderId="256" xfId="0" applyNumberFormat="1" applyFont="1" applyFill="1" applyBorder="1" applyAlignment="1" applyProtection="1">
      <alignment vertical="center"/>
      <protection locked="0"/>
    </xf>
    <xf numFmtId="0" fontId="5" fillId="0" borderId="126" xfId="0" applyFont="1" applyBorder="1" applyAlignment="1">
      <alignment horizontal="center" vertical="center"/>
    </xf>
    <xf numFmtId="3" fontId="7" fillId="6" borderId="189" xfId="0" applyNumberFormat="1" applyFont="1" applyFill="1" applyBorder="1" applyAlignment="1" applyProtection="1">
      <alignment vertical="center"/>
      <protection locked="0"/>
    </xf>
    <xf numFmtId="0" fontId="6" fillId="0" borderId="23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88" xfId="0" applyFont="1" applyBorder="1" applyAlignment="1">
      <alignment horizontal="left" vertical="center" wrapText="1"/>
    </xf>
    <xf numFmtId="0" fontId="7" fillId="0" borderId="146" xfId="0" applyFont="1" applyBorder="1" applyAlignment="1">
      <alignment horizontal="left" vertical="center"/>
    </xf>
    <xf numFmtId="0" fontId="7" fillId="0" borderId="189" xfId="0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0" fontId="7" fillId="0" borderId="235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1" xfId="0" applyFont="1" applyBorder="1" applyAlignment="1">
      <alignment vertical="center"/>
    </xf>
    <xf numFmtId="0" fontId="10" fillId="0" borderId="143" xfId="0" applyFont="1" applyBorder="1" applyAlignment="1">
      <alignment horizontal="center" vertical="center"/>
    </xf>
    <xf numFmtId="0" fontId="11" fillId="0" borderId="143" xfId="0" applyFont="1" applyBorder="1" applyAlignment="1">
      <alignment horizontal="center" vertical="center"/>
    </xf>
    <xf numFmtId="0" fontId="11" fillId="0" borderId="215" xfId="0" applyFont="1" applyBorder="1" applyAlignment="1">
      <alignment horizontal="center" vertical="center"/>
    </xf>
    <xf numFmtId="0" fontId="5" fillId="0" borderId="132" xfId="0" applyFont="1" applyBorder="1" applyAlignment="1">
      <alignment horizontal="center" vertical="center" textRotation="180"/>
    </xf>
    <xf numFmtId="0" fontId="5" fillId="0" borderId="241" xfId="0" applyFont="1" applyBorder="1" applyAlignment="1">
      <alignment horizontal="center" vertical="center" textRotation="180"/>
    </xf>
    <xf numFmtId="0" fontId="5" fillId="0" borderId="242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/>
    </xf>
    <xf numFmtId="0" fontId="7" fillId="0" borderId="237" xfId="0" applyFont="1" applyBorder="1" applyAlignment="1">
      <alignment horizontal="left" vertical="center"/>
    </xf>
    <xf numFmtId="0" fontId="7" fillId="0" borderId="238" xfId="0" applyFont="1" applyBorder="1" applyAlignment="1">
      <alignment horizontal="left" vertical="center" wrapText="1"/>
    </xf>
    <xf numFmtId="0" fontId="7" fillId="0" borderId="196" xfId="0" applyFont="1" applyBorder="1" applyAlignment="1">
      <alignment horizontal="left" vertical="center" wrapText="1"/>
    </xf>
    <xf numFmtId="0" fontId="7" fillId="0" borderId="14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7" fillId="0" borderId="239" xfId="0" applyFont="1" applyBorder="1" applyAlignment="1">
      <alignment horizontal="left" vertical="center"/>
    </xf>
    <xf numFmtId="173" fontId="7" fillId="0" borderId="250" xfId="0" applyNumberFormat="1" applyFont="1" applyBorder="1" applyAlignment="1">
      <alignment horizontal="center" vertical="center"/>
    </xf>
    <xf numFmtId="173" fontId="7" fillId="0" borderId="215" xfId="0" applyNumberFormat="1" applyFont="1" applyBorder="1" applyAlignment="1">
      <alignment horizontal="center" vertical="center"/>
    </xf>
    <xf numFmtId="173" fontId="7" fillId="0" borderId="179" xfId="0" applyNumberFormat="1" applyFont="1" applyBorder="1" applyAlignment="1">
      <alignment horizontal="center" vertical="center"/>
    </xf>
    <xf numFmtId="173" fontId="7" fillId="0" borderId="221" xfId="0" applyNumberFormat="1" applyFont="1" applyBorder="1" applyAlignment="1">
      <alignment horizontal="center" vertical="center"/>
    </xf>
    <xf numFmtId="0" fontId="7" fillId="0" borderId="201" xfId="0" applyFont="1" applyBorder="1" applyAlignment="1">
      <alignment vertical="center"/>
    </xf>
    <xf numFmtId="0" fontId="7" fillId="0" borderId="147" xfId="0" applyFont="1" applyBorder="1" applyAlignment="1">
      <alignment vertical="center"/>
    </xf>
    <xf numFmtId="0" fontId="7" fillId="0" borderId="243" xfId="0" applyFont="1" applyBorder="1" applyAlignment="1">
      <alignment horizontal="center" vertical="center" textRotation="180"/>
    </xf>
    <xf numFmtId="0" fontId="7" fillId="0" borderId="232" xfId="0" applyFont="1" applyBorder="1" applyAlignment="1">
      <alignment horizontal="center" vertical="center" textRotation="180"/>
    </xf>
    <xf numFmtId="0" fontId="7" fillId="0" borderId="244" xfId="0" applyFont="1" applyBorder="1" applyAlignment="1">
      <alignment horizontal="center" vertical="center" textRotation="180"/>
    </xf>
    <xf numFmtId="0" fontId="5" fillId="0" borderId="132" xfId="0" applyFont="1" applyBorder="1" applyAlignment="1">
      <alignment horizontal="center" vertical="center" textRotation="180" wrapText="1"/>
    </xf>
    <xf numFmtId="0" fontId="7" fillId="0" borderId="236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59" xfId="0" applyFont="1" applyBorder="1" applyAlignment="1">
      <alignment horizontal="left" vertical="center"/>
    </xf>
    <xf numFmtId="0" fontId="7" fillId="0" borderId="227" xfId="0" applyFont="1" applyBorder="1" applyAlignment="1">
      <alignment horizontal="left" vertical="center"/>
    </xf>
    <xf numFmtId="0" fontId="7" fillId="0" borderId="145" xfId="0" applyFont="1" applyBorder="1" applyAlignment="1">
      <alignment horizontal="left" vertical="center"/>
    </xf>
    <xf numFmtId="0" fontId="7" fillId="0" borderId="245" xfId="0" applyFont="1" applyBorder="1" applyAlignment="1">
      <alignment horizontal="left" vertical="center"/>
    </xf>
    <xf numFmtId="0" fontId="7" fillId="0" borderId="156" xfId="0" applyFont="1" applyBorder="1" applyAlignment="1">
      <alignment horizontal="left" vertical="center"/>
    </xf>
    <xf numFmtId="14" fontId="22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5" fillId="2" borderId="159" xfId="0" applyFont="1" applyFill="1" applyBorder="1" applyAlignment="1">
      <alignment horizontal="left" vertical="center"/>
    </xf>
    <xf numFmtId="0" fontId="5" fillId="2" borderId="159" xfId="0" applyFont="1" applyFill="1" applyBorder="1" applyAlignment="1">
      <alignment vertical="center"/>
    </xf>
    <xf numFmtId="0" fontId="7" fillId="6" borderId="14" xfId="0" applyFont="1" applyFill="1" applyBorder="1" applyAlignment="1">
      <alignment horizontal="left" vertical="center"/>
    </xf>
    <xf numFmtId="0" fontId="5" fillId="6" borderId="159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2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2" fillId="6" borderId="159" xfId="1" applyFont="1" applyFill="1" applyBorder="1" applyAlignment="1" applyProtection="1">
      <alignment horizontal="left" vertical="center"/>
    </xf>
    <xf numFmtId="0" fontId="5" fillId="6" borderId="159" xfId="0" quotePrefix="1" applyFont="1" applyFill="1" applyBorder="1" applyAlignment="1">
      <alignment horizontal="left" vertical="center"/>
    </xf>
    <xf numFmtId="0" fontId="4" fillId="6" borderId="159" xfId="1" applyFill="1" applyBorder="1" applyAlignment="1" applyProtection="1">
      <alignment horizontal="left" vertical="center"/>
    </xf>
    <xf numFmtId="0" fontId="7" fillId="0" borderId="240" xfId="0" applyFont="1" applyBorder="1" applyAlignment="1">
      <alignment horizontal="left" vertical="center"/>
    </xf>
    <xf numFmtId="0" fontId="7" fillId="0" borderId="189" xfId="0" applyFont="1" applyBorder="1" applyAlignment="1">
      <alignment horizontal="center" vertical="center"/>
    </xf>
    <xf numFmtId="0" fontId="7" fillId="0" borderId="240" xfId="0" applyFont="1" applyBorder="1" applyAlignment="1">
      <alignment horizontal="center" vertical="center"/>
    </xf>
    <xf numFmtId="0" fontId="7" fillId="0" borderId="146" xfId="0" applyFont="1" applyBorder="1" applyAlignment="1">
      <alignment horizontal="center" vertical="center"/>
    </xf>
    <xf numFmtId="0" fontId="7" fillId="0" borderId="238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7" fillId="0" borderId="196" xfId="0" applyFont="1" applyBorder="1" applyAlignment="1">
      <alignment horizontal="left" vertical="center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2718" name="Text Box 1">
          <a:extLst>
            <a:ext uri="{FF2B5EF4-FFF2-40B4-BE49-F238E27FC236}">
              <a16:creationId xmlns:a16="http://schemas.microsoft.com/office/drawing/2014/main" id="{5CA57225-89B8-43B7-96FE-FBBE3555D32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2719" name="Text Box 3">
          <a:extLst>
            <a:ext uri="{FF2B5EF4-FFF2-40B4-BE49-F238E27FC236}">
              <a16:creationId xmlns:a16="http://schemas.microsoft.com/office/drawing/2014/main" id="{55397E84-826E-4B5B-978C-9D68804796BA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2720" name="Text Box 4">
          <a:extLst>
            <a:ext uri="{FF2B5EF4-FFF2-40B4-BE49-F238E27FC236}">
              <a16:creationId xmlns:a16="http://schemas.microsoft.com/office/drawing/2014/main" id="{876BE0A4-B356-4FF2-9DDE-2894A43EBA76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2721" name="Text Box 5">
          <a:extLst>
            <a:ext uri="{FF2B5EF4-FFF2-40B4-BE49-F238E27FC236}">
              <a16:creationId xmlns:a16="http://schemas.microsoft.com/office/drawing/2014/main" id="{7FB09903-4437-44BD-9D00-9CA9FDA22EEC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2722" name="AutoShape 8">
          <a:extLst>
            <a:ext uri="{FF2B5EF4-FFF2-40B4-BE49-F238E27FC236}">
              <a16:creationId xmlns:a16="http://schemas.microsoft.com/office/drawing/2014/main" id="{5BDC9859-4C29-424A-80C8-335635E3447D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7614" name="Text Box 1">
          <a:extLst>
            <a:ext uri="{FF2B5EF4-FFF2-40B4-BE49-F238E27FC236}">
              <a16:creationId xmlns:a16="http://schemas.microsoft.com/office/drawing/2014/main" id="{75F7B74B-59AA-4C02-906C-9B43E08E94F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7615" name="Text Box 3">
          <a:extLst>
            <a:ext uri="{FF2B5EF4-FFF2-40B4-BE49-F238E27FC236}">
              <a16:creationId xmlns:a16="http://schemas.microsoft.com/office/drawing/2014/main" id="{7D9928D9-FEE8-4F17-A529-3F5AADA37981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7616" name="Text Box 4">
          <a:extLst>
            <a:ext uri="{FF2B5EF4-FFF2-40B4-BE49-F238E27FC236}">
              <a16:creationId xmlns:a16="http://schemas.microsoft.com/office/drawing/2014/main" id="{3A579E71-68E1-414F-A9C5-0D88DE61E44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7617" name="Text Box 5">
          <a:extLst>
            <a:ext uri="{FF2B5EF4-FFF2-40B4-BE49-F238E27FC236}">
              <a16:creationId xmlns:a16="http://schemas.microsoft.com/office/drawing/2014/main" id="{2E1D8690-2B96-4873-BA5E-CC06C8C4FF3E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7618" name="AutoShape 8">
          <a:extLst>
            <a:ext uri="{FF2B5EF4-FFF2-40B4-BE49-F238E27FC236}">
              <a16:creationId xmlns:a16="http://schemas.microsoft.com/office/drawing/2014/main" id="{D4F1D44D-D8E4-4622-B674-69A27B91462E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2113" name="Rectangle 40" descr="格子 (大)">
          <a:extLst>
            <a:ext uri="{FF2B5EF4-FFF2-40B4-BE49-F238E27FC236}">
              <a16:creationId xmlns:a16="http://schemas.microsoft.com/office/drawing/2014/main" id="{182A94C4-2ECE-4111-8961-E2BDB861CF1B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2114" name="Rectangle 41" descr="格子 (大)">
          <a:extLst>
            <a:ext uri="{FF2B5EF4-FFF2-40B4-BE49-F238E27FC236}">
              <a16:creationId xmlns:a16="http://schemas.microsoft.com/office/drawing/2014/main" id="{62963C3B-0700-488B-AC85-AD43537F5A91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2115" name="グループ化 3">
          <a:extLst>
            <a:ext uri="{FF2B5EF4-FFF2-40B4-BE49-F238E27FC236}">
              <a16:creationId xmlns:a16="http://schemas.microsoft.com/office/drawing/2014/main" id="{7C2024B2-67CE-4FF1-9D02-3E8B1BD637C9}"/>
            </a:ext>
          </a:extLst>
        </xdr:cNvPr>
        <xdr:cNvGrpSpPr>
          <a:grpSpLocks/>
        </xdr:cNvGrpSpPr>
      </xdr:nvGrpSpPr>
      <xdr:grpSpPr bwMode="auto">
        <a:xfrm>
          <a:off x="39712106" y="38100"/>
          <a:ext cx="1757363" cy="473869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5BA9C820-BBAD-4743-B774-02C902D584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01652F19-9817-4EF2-9C02-F3376823E2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46D3FD6A-7863-45EC-834D-FDEEA0EE437B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95975A4B-CD54-4897-B970-EEBE44425E83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507F1671-20C7-4E45-B387-3AC42101878D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D61D0D4F-F535-4737-A4D0-CDEE2CB86497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D625CFD9-BE25-4434-A204-2BBFDA90A4AF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4A738B40-727F-4BA1-80BD-4F8FEC716E8E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D9339213-0CC8-4E4B-A134-C67F5381DBA4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63D077ED-8D46-441A-9BE9-F4B30A94B8B7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66DDB509-F41A-42D6-92BA-EAACC3A0EA69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7C70CDD8-9485-48B0-ABB6-958EB8A455F8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A2E5D30E-3370-4EB8-8642-91C9608C0240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CDA08A00-C876-4ADB-81EA-2553B9FE368B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A4110636-1B05-493B-A8B4-D453720A7607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341853F1-E0AD-4C2F-8D30-552C306062E3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6454A49E-5EF4-4F44-97B4-9219A3C719FC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9D8EB445-BBC7-4E91-8089-8CB5C8C6B0D9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E6853633-D9C0-428A-9071-94E05C97D9E4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A31151F3-8247-4486-A191-8B0D763C0FF9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2A6BA0A4-5A63-46E2-9302-6A306727C36E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84B3F58B-75FC-452B-9D1E-BDF5549B5A74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95B7822-190A-4352-AA91-3FE51A490280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ECE02F5E-CE73-4815-B771-DAC306A9E2F0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FC33A751-387B-4832-9F63-4C9BE692ECD1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6D38ACF6-A34A-49D2-B0FE-B7647E2BFCED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1E4790B9-9E16-4831-9CAE-0BC68E654563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7CEE67EE-8747-47FD-AA17-1853AFFCB968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980F6558-6F2F-432E-B5BC-0FD1D6EE88F3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FA837FD3-77E5-4F25-BB39-F41197AB6E16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7AC653BE-67A0-4497-837C-BB1F313B56F8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6E19D844-98F6-4AF6-9E46-5F393F0C1656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4B55071F-98C4-4688-8560-51F11676FA98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8713C7A2-A000-4286-A334-E90F7B8F58BD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E3B74622-AD7C-49F0-B98B-177C0EBF7F0B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C8881856-C122-4CBC-9EED-926B35058A70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55EEF99B-C42C-4193-AA74-923B2443C4CC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2778680</xdr:colOff>
      <xdr:row>31</xdr:row>
      <xdr:rowOff>24238</xdr:rowOff>
    </xdr:from>
    <xdr:ext cx="324943" cy="233397"/>
    <xdr:sp macro="" textlink="">
      <xdr:nvSpPr>
        <xdr:cNvPr id="13760" name="Text Box 448">
          <a:extLst>
            <a:ext uri="{FF2B5EF4-FFF2-40B4-BE49-F238E27FC236}">
              <a16:creationId xmlns:a16="http://schemas.microsoft.com/office/drawing/2014/main" id="{421B8F4C-045E-42D2-A68E-DC83D4A505E7}"/>
            </a:ext>
          </a:extLst>
        </xdr:cNvPr>
        <xdr:cNvSpPr txBox="1">
          <a:spLocks noChangeArrowheads="1"/>
        </xdr:cNvSpPr>
      </xdr:nvSpPr>
      <xdr:spPr bwMode="auto">
        <a:xfrm>
          <a:off x="24891334" y="10003507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25</xdr:col>
      <xdr:colOff>2778680</xdr:colOff>
      <xdr:row>32</xdr:row>
      <xdr:rowOff>24238</xdr:rowOff>
    </xdr:from>
    <xdr:ext cx="324943" cy="233397"/>
    <xdr:sp macro="" textlink="">
      <xdr:nvSpPr>
        <xdr:cNvPr id="13761" name="Text Box 449">
          <a:extLst>
            <a:ext uri="{FF2B5EF4-FFF2-40B4-BE49-F238E27FC236}">
              <a16:creationId xmlns:a16="http://schemas.microsoft.com/office/drawing/2014/main" id="{15401226-C2C2-45DF-8346-A3A4C9E97FC2}"/>
            </a:ext>
          </a:extLst>
        </xdr:cNvPr>
        <xdr:cNvSpPr txBox="1">
          <a:spLocks noChangeArrowheads="1"/>
        </xdr:cNvSpPr>
      </xdr:nvSpPr>
      <xdr:spPr bwMode="auto">
        <a:xfrm>
          <a:off x="24891334" y="10355200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777BFF1B-9465-4D64-A8E4-CA978F598805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4AF50A28-201C-42E3-B616-4F24E79BCBFA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2155" name="グループ化 2">
          <a:extLst>
            <a:ext uri="{FF2B5EF4-FFF2-40B4-BE49-F238E27FC236}">
              <a16:creationId xmlns:a16="http://schemas.microsoft.com/office/drawing/2014/main" id="{58F22252-5850-4630-A604-7F6408B1C2C6}"/>
            </a:ext>
          </a:extLst>
        </xdr:cNvPr>
        <xdr:cNvGrpSpPr>
          <a:grpSpLocks/>
        </xdr:cNvGrpSpPr>
      </xdr:nvGrpSpPr>
      <xdr:grpSpPr bwMode="auto">
        <a:xfrm>
          <a:off x="19066669" y="38100"/>
          <a:ext cx="1543050" cy="483394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457EB780-292B-46C0-8A84-38A4F2DAEA4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55C86B74-8CDE-4533-A350-6264895CE9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7C8C2F16-6CA2-47AF-A7C5-396D10520176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8A8602A7-D4CE-4698-8CDD-5F93E837C230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A900A210-DEEC-4621-AD06-2F402093FE0A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2159" name="グループ化 4">
          <a:extLst>
            <a:ext uri="{FF2B5EF4-FFF2-40B4-BE49-F238E27FC236}">
              <a16:creationId xmlns:a16="http://schemas.microsoft.com/office/drawing/2014/main" id="{09C8359D-8529-4DD6-B580-BE4DF25CDED3}"/>
            </a:ext>
          </a:extLst>
        </xdr:cNvPr>
        <xdr:cNvGrpSpPr>
          <a:grpSpLocks/>
        </xdr:cNvGrpSpPr>
      </xdr:nvGrpSpPr>
      <xdr:grpSpPr bwMode="auto">
        <a:xfrm>
          <a:off x="38385750" y="597694"/>
          <a:ext cx="3083719" cy="1452562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0973267-F915-490D-8E09-4B1705A139CC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280AB45-085B-49C8-99AD-91BA288F8B83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46B2017C-8D98-4D84-908E-A9692CB8E2AA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F719284-7F6E-4E87-B2B0-C8E963C6CBE6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2160" name="グループ化 117">
          <a:extLst>
            <a:ext uri="{FF2B5EF4-FFF2-40B4-BE49-F238E27FC236}">
              <a16:creationId xmlns:a16="http://schemas.microsoft.com/office/drawing/2014/main" id="{F10A1E16-91C8-491F-AD1A-96ACF573A7A7}"/>
            </a:ext>
          </a:extLst>
        </xdr:cNvPr>
        <xdr:cNvGrpSpPr>
          <a:grpSpLocks/>
        </xdr:cNvGrpSpPr>
      </xdr:nvGrpSpPr>
      <xdr:grpSpPr bwMode="auto">
        <a:xfrm>
          <a:off x="17802225" y="597694"/>
          <a:ext cx="2807494" cy="1452562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215F1C47-4FB9-446B-8CB3-5A9CDE943586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0FE5291A-1B85-4AEB-AEA6-682C456E46FF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20E200E-138A-4228-B9AE-C2E0F9A0302D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0EEEB742-158A-40FE-AE1C-689E7FB643BE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D3FFE16C-4CE6-4EFC-B283-D40F5EC7159F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DD62A84-79EC-457F-A7AF-7F6726FDE467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9FE87E52-00DB-4016-BC50-81462CC6FE5A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9D50F70-864C-46DF-94BC-FAE17A03C3F6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25B5A470-1E62-4322-91DD-2CA952D4F58A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102166" name="正方形/長方形 2">
          <a:extLst>
            <a:ext uri="{FF2B5EF4-FFF2-40B4-BE49-F238E27FC236}">
              <a16:creationId xmlns:a16="http://schemas.microsoft.com/office/drawing/2014/main" id="{E3CD0343-6FF8-443E-892F-043D1BCE18FF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665" name="Text Box 1">
          <a:extLst>
            <a:ext uri="{FF2B5EF4-FFF2-40B4-BE49-F238E27FC236}">
              <a16:creationId xmlns:a16="http://schemas.microsoft.com/office/drawing/2014/main" id="{ED487711-0ADB-4F3D-B7FB-E0DA99B1D06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666" name="Text Box 3">
          <a:extLst>
            <a:ext uri="{FF2B5EF4-FFF2-40B4-BE49-F238E27FC236}">
              <a16:creationId xmlns:a16="http://schemas.microsoft.com/office/drawing/2014/main" id="{5749FF7F-1136-4984-885F-BBB8BB6041CF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667" name="Text Box 4">
          <a:extLst>
            <a:ext uri="{FF2B5EF4-FFF2-40B4-BE49-F238E27FC236}">
              <a16:creationId xmlns:a16="http://schemas.microsoft.com/office/drawing/2014/main" id="{87EEBDCC-482D-4D16-AD42-764A094FC96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668" name="Text Box 5">
          <a:extLst>
            <a:ext uri="{FF2B5EF4-FFF2-40B4-BE49-F238E27FC236}">
              <a16:creationId xmlns:a16="http://schemas.microsoft.com/office/drawing/2014/main" id="{BF0CF07D-40F2-49AF-895C-58A8A0BDF36B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4669" name="AutoShape 8">
          <a:extLst>
            <a:ext uri="{FF2B5EF4-FFF2-40B4-BE49-F238E27FC236}">
              <a16:creationId xmlns:a16="http://schemas.microsoft.com/office/drawing/2014/main" id="{C0F8C091-64EA-42FC-8371-8C97BED2BFAA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1%20-%20Plan/PL/HYPERION_PROFIT%20LOSS_Forecast%20com%20efetivo_FABRICA_IFRS%20-%20BP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ALCALINA/05%20-%20RELATORIOS/2022-d/QC%20-%20Previs&#227;o%20FY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2)%20Resultados/2.9%20-%20Q-Loss/SJCPIL-R%2017-204-01%20-%20FY2021%20-%20CUSTO%20DE%20PERDA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9%20-%20Q-Loss/SJCPIL-R%2017-204-01%20-%20FY2022%20-%20CUSTO%20DE%20PERDA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3%20-%20Reclamacoes_de_Clientes/Log&#237;stica%20Reversa/SJCPIL-R%2016-120-04%20-%20CQ%20-%20DESPESAS%20COM%20RETIRADA%20E%20ENVIO%20DE%20PILHAS%20PARA%20CONSUMID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FY21_Quality%20Business%20Plan(PANABRAS)_PLAN%20-%20Alcalina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Alcalin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43292 PDC MKT - ENERGY"/>
      <sheetName val="43293 PDC GER VENDAS-ENERGY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2773</v>
          </cell>
          <cell r="C8">
            <v>100</v>
          </cell>
          <cell r="D8">
            <v>3066</v>
          </cell>
          <cell r="E8">
            <v>100</v>
          </cell>
          <cell r="F8">
            <v>2447</v>
          </cell>
          <cell r="G8">
            <v>100</v>
          </cell>
          <cell r="H8">
            <v>2842</v>
          </cell>
          <cell r="I8">
            <v>100</v>
          </cell>
          <cell r="J8">
            <v>2842</v>
          </cell>
          <cell r="K8">
            <v>100</v>
          </cell>
          <cell r="L8">
            <v>3366</v>
          </cell>
          <cell r="M8">
            <v>100</v>
          </cell>
          <cell r="N8">
            <v>17337</v>
          </cell>
          <cell r="O8">
            <v>100</v>
          </cell>
          <cell r="P8">
            <v>3739</v>
          </cell>
          <cell r="Q8">
            <v>100</v>
          </cell>
          <cell r="R8">
            <v>3640</v>
          </cell>
          <cell r="S8">
            <v>100</v>
          </cell>
          <cell r="T8">
            <v>2870</v>
          </cell>
          <cell r="U8">
            <v>100</v>
          </cell>
          <cell r="V8">
            <v>2375</v>
          </cell>
          <cell r="W8">
            <v>100</v>
          </cell>
          <cell r="X8">
            <v>2418</v>
          </cell>
          <cell r="Y8">
            <v>100</v>
          </cell>
          <cell r="Z8">
            <v>2954</v>
          </cell>
          <cell r="AA8">
            <v>100</v>
          </cell>
        </row>
        <row r="9">
          <cell r="B9">
            <v>1920</v>
          </cell>
          <cell r="C9">
            <v>90.4</v>
          </cell>
          <cell r="D9">
            <v>2143</v>
          </cell>
          <cell r="E9">
            <v>91.3</v>
          </cell>
          <cell r="F9">
            <v>1674</v>
          </cell>
          <cell r="G9">
            <v>89.2</v>
          </cell>
          <cell r="H9">
            <v>1968</v>
          </cell>
          <cell r="I9">
            <v>90.4</v>
          </cell>
          <cell r="J9">
            <v>1968</v>
          </cell>
          <cell r="K9">
            <v>90.4</v>
          </cell>
          <cell r="L9">
            <v>2331</v>
          </cell>
          <cell r="M9">
            <v>90.4</v>
          </cell>
          <cell r="N9">
            <v>12006</v>
          </cell>
          <cell r="O9">
            <v>90.4</v>
          </cell>
          <cell r="P9">
            <v>2610</v>
          </cell>
          <cell r="Q9">
            <v>91.2</v>
          </cell>
          <cell r="R9">
            <v>2534</v>
          </cell>
          <cell r="S9">
            <v>91</v>
          </cell>
          <cell r="T9">
            <v>1955</v>
          </cell>
          <cell r="U9">
            <v>88.8</v>
          </cell>
          <cell r="V9">
            <v>1644</v>
          </cell>
          <cell r="W9">
            <v>90.4</v>
          </cell>
          <cell r="X9">
            <v>1674</v>
          </cell>
          <cell r="Y9">
            <v>90.4</v>
          </cell>
          <cell r="Z9">
            <v>2046</v>
          </cell>
          <cell r="AA9">
            <v>90.4</v>
          </cell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</row>
        <row r="13">
          <cell r="B13">
            <v>204</v>
          </cell>
          <cell r="C13">
            <v>9.6</v>
          </cell>
          <cell r="D13">
            <v>203</v>
          </cell>
          <cell r="E13">
            <v>8.6999999999999993</v>
          </cell>
          <cell r="F13">
            <v>202</v>
          </cell>
          <cell r="G13">
            <v>10.8</v>
          </cell>
          <cell r="H13">
            <v>209</v>
          </cell>
          <cell r="I13">
            <v>9.6</v>
          </cell>
          <cell r="J13">
            <v>209</v>
          </cell>
          <cell r="K13">
            <v>9.6</v>
          </cell>
          <cell r="L13">
            <v>247</v>
          </cell>
          <cell r="M13">
            <v>9.6</v>
          </cell>
          <cell r="N13">
            <v>1273</v>
          </cell>
          <cell r="O13">
            <v>9.6</v>
          </cell>
          <cell r="P13">
            <v>252</v>
          </cell>
          <cell r="Q13">
            <v>8.8000000000000007</v>
          </cell>
          <cell r="R13">
            <v>252</v>
          </cell>
          <cell r="S13">
            <v>9</v>
          </cell>
          <cell r="T13">
            <v>247</v>
          </cell>
          <cell r="U13">
            <v>11.2</v>
          </cell>
          <cell r="V13">
            <v>175</v>
          </cell>
          <cell r="W13">
            <v>9.6</v>
          </cell>
          <cell r="X13">
            <v>178</v>
          </cell>
          <cell r="Y13">
            <v>9.6</v>
          </cell>
          <cell r="Z13">
            <v>217</v>
          </cell>
          <cell r="AA13">
            <v>9.6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 - ORIGINAL"/>
      <sheetName val="PROCSQUALIDADE"/>
      <sheetName val="CUSTO POR PROCESSO"/>
      <sheetName val="MONTAGEM"/>
      <sheetName val="ACABAMENTO"/>
      <sheetName val="COLETOR"/>
      <sheetName val="TOTAL"/>
      <sheetName val="Resumo de VA"/>
    </sheetNames>
    <sheetDataSet>
      <sheetData sheetId="0">
        <row r="4">
          <cell r="E4">
            <v>44652</v>
          </cell>
          <cell r="F4"/>
          <cell r="G4"/>
          <cell r="H4">
            <v>44682</v>
          </cell>
          <cell r="I4"/>
          <cell r="J4"/>
          <cell r="K4">
            <v>44713</v>
          </cell>
          <cell r="L4"/>
          <cell r="M4"/>
          <cell r="N4">
            <v>44743</v>
          </cell>
          <cell r="O4"/>
          <cell r="P4"/>
          <cell r="Q4">
            <v>44774</v>
          </cell>
          <cell r="R4"/>
          <cell r="S4"/>
          <cell r="T4">
            <v>44805</v>
          </cell>
          <cell r="U4"/>
          <cell r="V4"/>
        </row>
        <row r="31">
          <cell r="E31">
            <v>386.71510310747789</v>
          </cell>
          <cell r="F31"/>
          <cell r="G31"/>
          <cell r="H31">
            <v>574.36427630099968</v>
          </cell>
          <cell r="I31"/>
          <cell r="J31"/>
          <cell r="K31">
            <v>557.82124367902657</v>
          </cell>
          <cell r="L31"/>
          <cell r="M31"/>
          <cell r="N31">
            <v>596.6518287514175</v>
          </cell>
          <cell r="O31"/>
          <cell r="P31"/>
          <cell r="Q31">
            <v>594.83891477482086</v>
          </cell>
          <cell r="R31"/>
          <cell r="S31"/>
          <cell r="T31">
            <v>642.29854024908332</v>
          </cell>
          <cell r="U31"/>
          <cell r="V31"/>
        </row>
        <row r="35">
          <cell r="E35">
            <v>44835</v>
          </cell>
          <cell r="F35"/>
          <cell r="G35"/>
          <cell r="H35">
            <v>44866</v>
          </cell>
          <cell r="I35"/>
          <cell r="J35"/>
          <cell r="K35">
            <v>44896</v>
          </cell>
          <cell r="L35"/>
          <cell r="M35"/>
          <cell r="N35">
            <v>44927</v>
          </cell>
          <cell r="O35"/>
          <cell r="P35"/>
          <cell r="Q35">
            <v>44958</v>
          </cell>
          <cell r="R35"/>
          <cell r="S35"/>
          <cell r="T35">
            <v>44986</v>
          </cell>
          <cell r="U35"/>
          <cell r="V35"/>
        </row>
        <row r="62">
          <cell r="E62">
            <v>677.81193526396282</v>
          </cell>
          <cell r="F62"/>
          <cell r="G62"/>
          <cell r="H62">
            <v>628.59298456293754</v>
          </cell>
          <cell r="I62"/>
          <cell r="J62"/>
          <cell r="K62">
            <v>386.77229566411688</v>
          </cell>
          <cell r="L62"/>
          <cell r="M62"/>
          <cell r="N62">
            <v>440.10704398687716</v>
          </cell>
          <cell r="O62"/>
          <cell r="P62"/>
          <cell r="Q62">
            <v>557.1364885061646</v>
          </cell>
          <cell r="R62"/>
          <cell r="S62"/>
          <cell r="T62">
            <v>233.28325703801747</v>
          </cell>
          <cell r="U62"/>
          <cell r="V62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JCPIL-R 17-204-01 (Forecat)"/>
      <sheetName val="SJCPIL-R 17-204-01"/>
    </sheetNames>
    <sheetDataSet>
      <sheetData sheetId="0"/>
      <sheetData sheetId="1">
        <row r="45">
          <cell r="E45">
            <v>393.07986492399999</v>
          </cell>
          <cell r="F45">
            <v>430.76999862399998</v>
          </cell>
          <cell r="G45">
            <v>339.49031702399998</v>
          </cell>
          <cell r="I45">
            <v>393.84413802400002</v>
          </cell>
          <cell r="J45">
            <v>393.84413802400002</v>
          </cell>
          <cell r="K45">
            <v>432.46359422399996</v>
          </cell>
          <cell r="M45">
            <v>466.66088932399998</v>
          </cell>
          <cell r="N45">
            <v>465.237990524</v>
          </cell>
          <cell r="O45">
            <v>376.280829224</v>
          </cell>
          <cell r="Q45">
            <v>359.511494524</v>
          </cell>
          <cell r="R45">
            <v>372.159065924</v>
          </cell>
          <cell r="S45">
            <v>393.07986492399999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JCPIL-R 17-204-01 (Forecat)"/>
      <sheetName val="SJCPIL-R 17-204-01"/>
    </sheetNames>
    <sheetDataSet>
      <sheetData sheetId="0"/>
      <sheetData sheetId="1">
        <row r="4">
          <cell r="E4">
            <v>44652</v>
          </cell>
          <cell r="F4">
            <v>44682</v>
          </cell>
          <cell r="G4">
            <v>44713</v>
          </cell>
          <cell r="H4" t="str">
            <v>média</v>
          </cell>
          <cell r="I4">
            <v>44743</v>
          </cell>
          <cell r="J4">
            <v>44774</v>
          </cell>
          <cell r="K4">
            <v>44805</v>
          </cell>
          <cell r="L4" t="str">
            <v>Média</v>
          </cell>
          <cell r="M4">
            <v>44835</v>
          </cell>
          <cell r="N4">
            <v>44866</v>
          </cell>
          <cell r="O4">
            <v>44896</v>
          </cell>
          <cell r="P4" t="str">
            <v>Média</v>
          </cell>
          <cell r="Q4">
            <v>44927</v>
          </cell>
          <cell r="R4">
            <v>44958</v>
          </cell>
          <cell r="S4">
            <v>44986</v>
          </cell>
        </row>
        <row r="16">
          <cell r="E16">
            <v>210.21170898074308</v>
          </cell>
          <cell r="F16">
            <v>204.15712079920596</v>
          </cell>
          <cell r="G16">
            <v>207.948198038551</v>
          </cell>
          <cell r="H16">
            <v>207.43900927283335</v>
          </cell>
          <cell r="I16">
            <v>204.15712079920596</v>
          </cell>
          <cell r="J16">
            <v>207.948198038551</v>
          </cell>
          <cell r="K16">
            <v>207.3163518319935</v>
          </cell>
          <cell r="L16">
            <v>206.47389022325015</v>
          </cell>
          <cell r="M16">
            <v>228.96113915224859</v>
          </cell>
          <cell r="N16">
            <v>233.78137366071695</v>
          </cell>
          <cell r="O16">
            <v>236.1914909149512</v>
          </cell>
          <cell r="P16">
            <v>232.9780012426389</v>
          </cell>
          <cell r="Q16">
            <v>219.04057228614681</v>
          </cell>
          <cell r="R16">
            <v>141.53388267660839</v>
          </cell>
          <cell r="S16">
            <v>161.05098381421266</v>
          </cell>
        </row>
      </sheetData>
      <sheetData sheetId="2">
        <row r="4">
          <cell r="E4">
            <v>44652</v>
          </cell>
          <cell r="F4">
            <v>44682</v>
          </cell>
          <cell r="G4">
            <v>44713</v>
          </cell>
          <cell r="H4" t="str">
            <v>média</v>
          </cell>
          <cell r="I4">
            <v>44743</v>
          </cell>
          <cell r="J4">
            <v>44774</v>
          </cell>
          <cell r="K4">
            <v>44805</v>
          </cell>
          <cell r="L4" t="str">
            <v>Média</v>
          </cell>
          <cell r="M4">
            <v>44835</v>
          </cell>
          <cell r="N4">
            <v>44866</v>
          </cell>
          <cell r="O4">
            <v>44896</v>
          </cell>
          <cell r="P4" t="str">
            <v>Média</v>
          </cell>
          <cell r="Q4">
            <v>44927</v>
          </cell>
          <cell r="R4">
            <v>44958</v>
          </cell>
          <cell r="S4">
            <v>44986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/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/>
          <cell r="P44">
            <v>0</v>
          </cell>
          <cell r="Q44">
            <v>0</v>
          </cell>
          <cell r="R44">
            <v>0</v>
          </cell>
          <cell r="S44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6-120-04"/>
    </sheetNames>
    <sheetDataSet>
      <sheetData sheetId="0">
        <row r="5">
          <cell r="A5" t="str">
            <v>MÊS</v>
          </cell>
          <cell r="B5">
            <v>44652</v>
          </cell>
          <cell r="C5">
            <v>44682</v>
          </cell>
          <cell r="D5">
            <v>44713</v>
          </cell>
          <cell r="E5">
            <v>44743</v>
          </cell>
          <cell r="F5">
            <v>44774</v>
          </cell>
          <cell r="G5">
            <v>44805</v>
          </cell>
          <cell r="H5">
            <v>44835</v>
          </cell>
          <cell r="I5">
            <v>44866</v>
          </cell>
          <cell r="J5">
            <v>44896</v>
          </cell>
          <cell r="K5">
            <v>44927</v>
          </cell>
          <cell r="L5">
            <v>44958</v>
          </cell>
          <cell r="M5">
            <v>44986</v>
          </cell>
        </row>
        <row r="6">
          <cell r="A6" t="str">
            <v>ALCALINA</v>
          </cell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A7" t="str">
            <v>IMPORTADO</v>
          </cell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A8" t="str">
            <v>MANGANÊS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A9" t="str">
            <v>OUTRAS DESPESAS</v>
          </cell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A10" t="str">
            <v>REEMBOLSO DE EQUIP.</v>
          </cell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  <cell r="AB7" t="str">
            <v>2nd Half</v>
          </cell>
          <cell r="AC7"/>
          <cell r="AD7" t="str">
            <v>YearTotal</v>
          </cell>
          <cell r="AE7"/>
        </row>
        <row r="8">
          <cell r="B8">
            <v>2449</v>
          </cell>
          <cell r="C8">
            <v>100</v>
          </cell>
          <cell r="D8">
            <v>3630</v>
          </cell>
          <cell r="E8">
            <v>100</v>
          </cell>
          <cell r="F8">
            <v>1715</v>
          </cell>
          <cell r="G8">
            <v>100</v>
          </cell>
          <cell r="H8">
            <v>3240</v>
          </cell>
          <cell r="I8">
            <v>100</v>
          </cell>
          <cell r="J8">
            <v>3675</v>
          </cell>
          <cell r="K8">
            <v>100</v>
          </cell>
          <cell r="L8">
            <v>2634</v>
          </cell>
          <cell r="M8">
            <v>100</v>
          </cell>
          <cell r="N8">
            <v>17342</v>
          </cell>
          <cell r="O8">
            <v>100</v>
          </cell>
          <cell r="P8">
            <v>2243</v>
          </cell>
          <cell r="Q8">
            <v>100</v>
          </cell>
          <cell r="R8">
            <v>4423</v>
          </cell>
          <cell r="S8">
            <v>100</v>
          </cell>
          <cell r="T8">
            <v>2512</v>
          </cell>
          <cell r="U8">
            <v>100</v>
          </cell>
          <cell r="V8"/>
          <cell r="W8"/>
          <cell r="X8"/>
          <cell r="Y8"/>
          <cell r="Z8"/>
          <cell r="AA8"/>
          <cell r="AB8">
            <v>9178</v>
          </cell>
          <cell r="AC8">
            <v>100</v>
          </cell>
          <cell r="AD8">
            <v>26521</v>
          </cell>
          <cell r="AE8">
            <v>100</v>
          </cell>
        </row>
        <row r="9">
          <cell r="B9">
            <v>1145</v>
          </cell>
          <cell r="C9">
            <v>46.7</v>
          </cell>
          <cell r="D9">
            <v>1594</v>
          </cell>
          <cell r="E9">
            <v>43.9</v>
          </cell>
          <cell r="F9">
            <v>795</v>
          </cell>
          <cell r="G9">
            <v>46.3</v>
          </cell>
          <cell r="H9">
            <v>1458</v>
          </cell>
          <cell r="I9">
            <v>45</v>
          </cell>
          <cell r="J9">
            <v>1623</v>
          </cell>
          <cell r="K9">
            <v>44.2</v>
          </cell>
          <cell r="L9">
            <v>1228</v>
          </cell>
          <cell r="M9">
            <v>46.6</v>
          </cell>
          <cell r="N9">
            <v>7843</v>
          </cell>
          <cell r="O9">
            <v>45.2</v>
          </cell>
          <cell r="P9">
            <v>979</v>
          </cell>
          <cell r="Q9">
            <v>43.7</v>
          </cell>
          <cell r="R9">
            <v>1956</v>
          </cell>
          <cell r="S9">
            <v>44.2</v>
          </cell>
          <cell r="T9">
            <v>1184</v>
          </cell>
          <cell r="U9">
            <v>47.1</v>
          </cell>
          <cell r="V9"/>
          <cell r="W9"/>
          <cell r="X9"/>
          <cell r="Y9"/>
          <cell r="Z9"/>
          <cell r="AA9"/>
          <cell r="AB9">
            <v>4120</v>
          </cell>
          <cell r="AC9">
            <v>44.9</v>
          </cell>
          <cell r="AD9">
            <v>11963</v>
          </cell>
          <cell r="AE9">
            <v>45.1</v>
          </cell>
        </row>
        <row r="10">
          <cell r="B10">
            <v>991</v>
          </cell>
          <cell r="C10">
            <v>40.5</v>
          </cell>
          <cell r="D10">
            <v>1374</v>
          </cell>
          <cell r="E10">
            <v>37.9</v>
          </cell>
          <cell r="F10">
            <v>688</v>
          </cell>
          <cell r="G10">
            <v>40.1</v>
          </cell>
          <cell r="H10">
            <v>1244</v>
          </cell>
          <cell r="I10">
            <v>38.4</v>
          </cell>
          <cell r="J10">
            <v>1387</v>
          </cell>
          <cell r="K10">
            <v>37.700000000000003</v>
          </cell>
          <cell r="L10">
            <v>1054</v>
          </cell>
          <cell r="M10">
            <v>40</v>
          </cell>
          <cell r="N10">
            <v>6737</v>
          </cell>
          <cell r="O10">
            <v>38.799999999999997</v>
          </cell>
          <cell r="P10">
            <v>834</v>
          </cell>
          <cell r="Q10">
            <v>37.200000000000003</v>
          </cell>
          <cell r="R10">
            <v>1670</v>
          </cell>
          <cell r="S10">
            <v>37.799999999999997</v>
          </cell>
          <cell r="T10">
            <v>1002</v>
          </cell>
          <cell r="U10">
            <v>39.9</v>
          </cell>
          <cell r="V10"/>
          <cell r="W10"/>
          <cell r="X10"/>
          <cell r="Y10"/>
          <cell r="Z10"/>
          <cell r="AA10"/>
          <cell r="AB10">
            <v>3505</v>
          </cell>
          <cell r="AC10">
            <v>38.200000000000003</v>
          </cell>
          <cell r="AD10">
            <v>10243</v>
          </cell>
          <cell r="AE10">
            <v>38.6</v>
          </cell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</row>
        <row r="12">
          <cell r="B12">
            <v>74</v>
          </cell>
          <cell r="C12">
            <v>3</v>
          </cell>
          <cell r="D12">
            <v>79</v>
          </cell>
          <cell r="E12">
            <v>2.2000000000000002</v>
          </cell>
          <cell r="F12">
            <v>49</v>
          </cell>
          <cell r="G12">
            <v>2.8</v>
          </cell>
          <cell r="H12">
            <v>63</v>
          </cell>
          <cell r="I12">
            <v>1.9</v>
          </cell>
          <cell r="J12">
            <v>75</v>
          </cell>
          <cell r="K12">
            <v>2</v>
          </cell>
          <cell r="L12">
            <v>68</v>
          </cell>
          <cell r="M12">
            <v>2.6</v>
          </cell>
          <cell r="N12">
            <v>407</v>
          </cell>
          <cell r="O12">
            <v>2.2999999999999998</v>
          </cell>
          <cell r="P12">
            <v>81</v>
          </cell>
          <cell r="Q12">
            <v>3.6</v>
          </cell>
          <cell r="R12">
            <v>146</v>
          </cell>
          <cell r="S12">
            <v>3.3</v>
          </cell>
          <cell r="T12">
            <v>134</v>
          </cell>
          <cell r="U12">
            <v>5.3</v>
          </cell>
          <cell r="V12"/>
          <cell r="W12"/>
          <cell r="X12"/>
          <cell r="Y12"/>
          <cell r="Z12"/>
          <cell r="AA12"/>
          <cell r="AB12">
            <v>361</v>
          </cell>
          <cell r="AC12">
            <v>3.9</v>
          </cell>
          <cell r="AD12">
            <v>767</v>
          </cell>
          <cell r="AE12">
            <v>2.9</v>
          </cell>
        </row>
        <row r="13">
          <cell r="B13">
            <v>19</v>
          </cell>
          <cell r="C13">
            <v>0.8</v>
          </cell>
          <cell r="D13">
            <v>19</v>
          </cell>
          <cell r="E13">
            <v>0.5</v>
          </cell>
          <cell r="F13">
            <v>26</v>
          </cell>
          <cell r="G13">
            <v>1.5</v>
          </cell>
          <cell r="H13">
            <v>21</v>
          </cell>
          <cell r="I13">
            <v>0.6</v>
          </cell>
          <cell r="J13">
            <v>24</v>
          </cell>
          <cell r="K13">
            <v>0.7</v>
          </cell>
          <cell r="L13">
            <v>27</v>
          </cell>
          <cell r="M13">
            <v>1</v>
          </cell>
          <cell r="N13">
            <v>136</v>
          </cell>
          <cell r="O13">
            <v>0.8</v>
          </cell>
          <cell r="P13">
            <v>28</v>
          </cell>
          <cell r="Q13">
            <v>1.2</v>
          </cell>
          <cell r="R13">
            <v>26</v>
          </cell>
          <cell r="S13">
            <v>0.6</v>
          </cell>
          <cell r="T13">
            <v>23</v>
          </cell>
          <cell r="U13">
            <v>0.9</v>
          </cell>
          <cell r="V13"/>
          <cell r="W13"/>
          <cell r="X13"/>
          <cell r="Y13"/>
          <cell r="Z13"/>
          <cell r="AA13"/>
          <cell r="AB13">
            <v>77</v>
          </cell>
          <cell r="AC13">
            <v>0.8</v>
          </cell>
          <cell r="AD13">
            <v>213</v>
          </cell>
          <cell r="AE13">
            <v>0.8</v>
          </cell>
        </row>
        <row r="14">
          <cell r="B14">
            <v>3</v>
          </cell>
          <cell r="C14">
            <v>0.1</v>
          </cell>
          <cell r="D14">
            <v>3</v>
          </cell>
          <cell r="E14">
            <v>0.1</v>
          </cell>
          <cell r="F14">
            <v>3</v>
          </cell>
          <cell r="G14">
            <v>0.2</v>
          </cell>
          <cell r="H14">
            <v>3</v>
          </cell>
          <cell r="I14">
            <v>0.1</v>
          </cell>
          <cell r="J14">
            <v>3</v>
          </cell>
          <cell r="K14">
            <v>0.1</v>
          </cell>
          <cell r="L14">
            <v>3</v>
          </cell>
          <cell r="M14">
            <v>0.1</v>
          </cell>
          <cell r="N14">
            <v>16</v>
          </cell>
          <cell r="O14">
            <v>0.1</v>
          </cell>
          <cell r="P14">
            <v>3</v>
          </cell>
          <cell r="Q14">
            <v>0.1</v>
          </cell>
          <cell r="R14">
            <v>3</v>
          </cell>
          <cell r="S14">
            <v>0.1</v>
          </cell>
          <cell r="T14">
            <v>3</v>
          </cell>
          <cell r="U14">
            <v>0.1</v>
          </cell>
          <cell r="V14"/>
          <cell r="W14"/>
          <cell r="X14"/>
          <cell r="Y14"/>
          <cell r="Z14"/>
          <cell r="AA14"/>
          <cell r="AB14">
            <v>8</v>
          </cell>
          <cell r="AC14">
            <v>0.1</v>
          </cell>
          <cell r="AD14">
            <v>24</v>
          </cell>
          <cell r="AE14">
            <v>0.1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</row>
        <row r="17">
          <cell r="B17">
            <v>81</v>
          </cell>
          <cell r="C17">
            <v>3.3</v>
          </cell>
          <cell r="D17">
            <v>119</v>
          </cell>
          <cell r="E17">
            <v>3.3</v>
          </cell>
          <cell r="F17">
            <v>113</v>
          </cell>
          <cell r="G17">
            <v>6.6</v>
          </cell>
          <cell r="H17">
            <v>133</v>
          </cell>
          <cell r="I17">
            <v>4.0999999999999996</v>
          </cell>
          <cell r="J17">
            <v>181</v>
          </cell>
          <cell r="K17">
            <v>4.9000000000000004</v>
          </cell>
          <cell r="L17">
            <v>191</v>
          </cell>
          <cell r="M17">
            <v>7.3</v>
          </cell>
          <cell r="N17">
            <v>818</v>
          </cell>
          <cell r="O17">
            <v>4.7</v>
          </cell>
          <cell r="P17">
            <v>194</v>
          </cell>
          <cell r="Q17">
            <v>8.6</v>
          </cell>
          <cell r="R17">
            <v>213</v>
          </cell>
          <cell r="S17">
            <v>4.8</v>
          </cell>
          <cell r="T17">
            <v>209</v>
          </cell>
          <cell r="U17">
            <v>8.3000000000000007</v>
          </cell>
          <cell r="V17"/>
          <cell r="W17"/>
          <cell r="X17"/>
          <cell r="Y17"/>
          <cell r="Z17"/>
          <cell r="AA17"/>
          <cell r="AB17">
            <v>615</v>
          </cell>
          <cell r="AC17">
            <v>6.7</v>
          </cell>
          <cell r="AD17">
            <v>1433</v>
          </cell>
          <cell r="AE17">
            <v>5.4</v>
          </cell>
        </row>
        <row r="18">
          <cell r="B18">
            <v>265</v>
          </cell>
          <cell r="C18">
            <v>10.8</v>
          </cell>
          <cell r="D18">
            <v>231</v>
          </cell>
          <cell r="E18">
            <v>6.4</v>
          </cell>
          <cell r="F18">
            <v>246</v>
          </cell>
          <cell r="G18">
            <v>14.4</v>
          </cell>
          <cell r="H18">
            <v>249</v>
          </cell>
          <cell r="I18">
            <v>7.7</v>
          </cell>
          <cell r="J18">
            <v>241</v>
          </cell>
          <cell r="K18">
            <v>6.6</v>
          </cell>
          <cell r="L18">
            <v>244</v>
          </cell>
          <cell r="M18">
            <v>9.3000000000000007</v>
          </cell>
          <cell r="N18">
            <v>1477</v>
          </cell>
          <cell r="O18">
            <v>8.5</v>
          </cell>
          <cell r="P18">
            <v>285</v>
          </cell>
          <cell r="Q18">
            <v>12.7</v>
          </cell>
          <cell r="R18">
            <v>253</v>
          </cell>
          <cell r="S18">
            <v>5.7</v>
          </cell>
          <cell r="T18">
            <v>289</v>
          </cell>
          <cell r="U18">
            <v>11.5</v>
          </cell>
          <cell r="V18"/>
          <cell r="W18"/>
          <cell r="X18"/>
          <cell r="Y18"/>
          <cell r="Z18"/>
          <cell r="AA18"/>
          <cell r="AB18">
            <v>826</v>
          </cell>
          <cell r="AC18">
            <v>9</v>
          </cell>
          <cell r="AD18">
            <v>2303</v>
          </cell>
          <cell r="AE18">
            <v>8.6999999999999993</v>
          </cell>
        </row>
        <row r="19">
          <cell r="B19">
            <v>1586</v>
          </cell>
          <cell r="C19">
            <v>64.7</v>
          </cell>
          <cell r="D19">
            <v>2045</v>
          </cell>
          <cell r="E19">
            <v>56.4</v>
          </cell>
          <cell r="F19">
            <v>1231</v>
          </cell>
          <cell r="G19">
            <v>71.8</v>
          </cell>
          <cell r="H19">
            <v>1926</v>
          </cell>
          <cell r="I19">
            <v>59.5</v>
          </cell>
          <cell r="J19">
            <v>2147</v>
          </cell>
          <cell r="K19">
            <v>58.4</v>
          </cell>
          <cell r="L19">
            <v>1761</v>
          </cell>
          <cell r="M19">
            <v>66.8</v>
          </cell>
          <cell r="N19">
            <v>10696</v>
          </cell>
          <cell r="O19">
            <v>61.7</v>
          </cell>
          <cell r="P19">
            <v>1569</v>
          </cell>
          <cell r="Q19">
            <v>70</v>
          </cell>
          <cell r="R19">
            <v>2596</v>
          </cell>
          <cell r="S19">
            <v>58.7</v>
          </cell>
          <cell r="T19">
            <v>1841</v>
          </cell>
          <cell r="U19">
            <v>73.3</v>
          </cell>
          <cell r="V19"/>
          <cell r="W19"/>
          <cell r="X19"/>
          <cell r="Y19"/>
          <cell r="Z19"/>
          <cell r="AA19"/>
          <cell r="AB19">
            <v>6006</v>
          </cell>
          <cell r="AC19">
            <v>65.400000000000006</v>
          </cell>
          <cell r="AD19">
            <v>16703</v>
          </cell>
          <cell r="AE19">
            <v>63</v>
          </cell>
        </row>
        <row r="20">
          <cell r="B20">
            <v>3127</v>
          </cell>
          <cell r="C20">
            <v>100</v>
          </cell>
          <cell r="D20">
            <v>2201</v>
          </cell>
          <cell r="E20">
            <v>100</v>
          </cell>
          <cell r="F20">
            <v>2324</v>
          </cell>
          <cell r="G20">
            <v>100</v>
          </cell>
          <cell r="H20">
            <v>2429</v>
          </cell>
          <cell r="I20">
            <v>100</v>
          </cell>
          <cell r="J20">
            <v>3065</v>
          </cell>
          <cell r="K20">
            <v>100</v>
          </cell>
          <cell r="L20">
            <v>2835</v>
          </cell>
          <cell r="M20">
            <v>100</v>
          </cell>
          <cell r="N20">
            <v>15980</v>
          </cell>
          <cell r="O20">
            <v>100</v>
          </cell>
          <cell r="P20">
            <v>2652</v>
          </cell>
          <cell r="Q20">
            <v>93.6</v>
          </cell>
          <cell r="R20">
            <v>2703</v>
          </cell>
          <cell r="S20">
            <v>89.1</v>
          </cell>
          <cell r="T20">
            <v>3302</v>
          </cell>
          <cell r="U20">
            <v>92</v>
          </cell>
          <cell r="V20"/>
          <cell r="W20"/>
          <cell r="X20"/>
          <cell r="Y20"/>
          <cell r="Z20"/>
          <cell r="AA20"/>
          <cell r="AB20">
            <v>8657</v>
          </cell>
          <cell r="AC20">
            <v>91.5</v>
          </cell>
          <cell r="AD20">
            <v>24637</v>
          </cell>
          <cell r="AE20">
            <v>96.9</v>
          </cell>
        </row>
        <row r="21">
          <cell r="B21">
            <v>2968</v>
          </cell>
          <cell r="C21">
            <v>93.6</v>
          </cell>
          <cell r="D21">
            <v>2122</v>
          </cell>
          <cell r="E21">
            <v>90.8</v>
          </cell>
          <cell r="F21">
            <v>2233</v>
          </cell>
          <cell r="G21">
            <v>87.7</v>
          </cell>
          <cell r="H21">
            <v>2561</v>
          </cell>
          <cell r="I21">
            <v>90.9</v>
          </cell>
          <cell r="J21">
            <v>3073</v>
          </cell>
          <cell r="K21">
            <v>94.2</v>
          </cell>
          <cell r="L21">
            <v>2948</v>
          </cell>
          <cell r="M21">
            <v>92.1</v>
          </cell>
          <cell r="N21">
            <v>15903</v>
          </cell>
          <cell r="O21">
            <v>91.8</v>
          </cell>
          <cell r="P21">
            <v>2919</v>
          </cell>
          <cell r="Q21">
            <v>94.4</v>
          </cell>
          <cell r="R21">
            <v>3061</v>
          </cell>
          <cell r="S21">
            <v>90.3</v>
          </cell>
          <cell r="T21">
            <v>3647</v>
          </cell>
          <cell r="U21">
            <v>93.8</v>
          </cell>
          <cell r="V21"/>
          <cell r="W21"/>
          <cell r="X21"/>
          <cell r="Y21"/>
          <cell r="Z21"/>
          <cell r="AA21"/>
          <cell r="AB21">
            <v>9627</v>
          </cell>
          <cell r="AC21">
            <v>92.8</v>
          </cell>
          <cell r="AD21">
            <v>25531</v>
          </cell>
          <cell r="AE21">
            <v>92.2</v>
          </cell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>
            <v>182</v>
          </cell>
          <cell r="Q24">
            <v>6.4</v>
          </cell>
          <cell r="R24">
            <v>330</v>
          </cell>
          <cell r="S24">
            <v>10.9</v>
          </cell>
          <cell r="T24">
            <v>289</v>
          </cell>
          <cell r="U24">
            <v>8</v>
          </cell>
          <cell r="V24"/>
          <cell r="W24"/>
          <cell r="X24"/>
          <cell r="Y24"/>
          <cell r="Z24"/>
          <cell r="AA24"/>
          <cell r="AB24">
            <v>801</v>
          </cell>
          <cell r="AC24">
            <v>8.5</v>
          </cell>
          <cell r="AD24">
            <v>801</v>
          </cell>
          <cell r="AE24">
            <v>3.1</v>
          </cell>
        </row>
        <row r="25">
          <cell r="B25">
            <v>203</v>
          </cell>
          <cell r="C25">
            <v>6.4</v>
          </cell>
          <cell r="D25">
            <v>215</v>
          </cell>
          <cell r="E25">
            <v>9.1999999999999993</v>
          </cell>
          <cell r="F25">
            <v>314</v>
          </cell>
          <cell r="G25">
            <v>12.3</v>
          </cell>
          <cell r="H25">
            <v>256</v>
          </cell>
          <cell r="I25">
            <v>9.1</v>
          </cell>
          <cell r="J25">
            <v>188</v>
          </cell>
          <cell r="K25">
            <v>5.8</v>
          </cell>
          <cell r="L25">
            <v>251</v>
          </cell>
          <cell r="M25">
            <v>7.9</v>
          </cell>
          <cell r="N25">
            <v>1427</v>
          </cell>
          <cell r="O25">
            <v>8.1999999999999993</v>
          </cell>
          <cell r="P25">
            <v>173</v>
          </cell>
          <cell r="Q25">
            <v>5.6</v>
          </cell>
          <cell r="R25">
            <v>329</v>
          </cell>
          <cell r="S25">
            <v>9.6999999999999993</v>
          </cell>
          <cell r="T25">
            <v>243</v>
          </cell>
          <cell r="U25">
            <v>6.2</v>
          </cell>
          <cell r="V25"/>
          <cell r="W25"/>
          <cell r="X25"/>
          <cell r="Y25"/>
          <cell r="Z25"/>
          <cell r="AA25"/>
          <cell r="AB25">
            <v>745</v>
          </cell>
          <cell r="AC25">
            <v>7.2</v>
          </cell>
          <cell r="AD25">
            <v>2172</v>
          </cell>
          <cell r="AE25">
            <v>7.8</v>
          </cell>
        </row>
        <row r="26">
          <cell r="B26">
            <v>3127</v>
          </cell>
          <cell r="C26">
            <v>100</v>
          </cell>
          <cell r="D26">
            <v>2201</v>
          </cell>
          <cell r="E26">
            <v>100</v>
          </cell>
          <cell r="F26">
            <v>2324</v>
          </cell>
          <cell r="G26">
            <v>100</v>
          </cell>
          <cell r="H26">
            <v>2429</v>
          </cell>
          <cell r="I26">
            <v>100</v>
          </cell>
          <cell r="J26">
            <v>3065</v>
          </cell>
          <cell r="K26">
            <v>100</v>
          </cell>
          <cell r="L26">
            <v>2835</v>
          </cell>
          <cell r="M26">
            <v>100</v>
          </cell>
          <cell r="N26">
            <v>15980</v>
          </cell>
          <cell r="O26">
            <v>100</v>
          </cell>
          <cell r="P26">
            <v>2833</v>
          </cell>
          <cell r="Q26">
            <v>100</v>
          </cell>
          <cell r="R26">
            <v>3033</v>
          </cell>
          <cell r="S26">
            <v>100</v>
          </cell>
          <cell r="T26">
            <v>3591</v>
          </cell>
          <cell r="U26">
            <v>100</v>
          </cell>
          <cell r="V26"/>
          <cell r="W26"/>
          <cell r="X26"/>
          <cell r="Y26"/>
          <cell r="Z26"/>
          <cell r="AA26"/>
          <cell r="AB26">
            <v>9457</v>
          </cell>
          <cell r="AC26">
            <v>100</v>
          </cell>
          <cell r="AD26">
            <v>25438</v>
          </cell>
          <cell r="AE26">
            <v>100</v>
          </cell>
        </row>
        <row r="27">
          <cell r="B27">
            <v>3171</v>
          </cell>
          <cell r="C27">
            <v>100</v>
          </cell>
          <cell r="D27">
            <v>2337</v>
          </cell>
          <cell r="E27">
            <v>100</v>
          </cell>
          <cell r="F27">
            <v>2547</v>
          </cell>
          <cell r="G27">
            <v>100</v>
          </cell>
          <cell r="H27">
            <v>2817</v>
          </cell>
          <cell r="I27">
            <v>100</v>
          </cell>
          <cell r="J27">
            <v>3261</v>
          </cell>
          <cell r="K27">
            <v>100</v>
          </cell>
          <cell r="L27">
            <v>3199</v>
          </cell>
          <cell r="M27">
            <v>100</v>
          </cell>
          <cell r="N27">
            <v>17330</v>
          </cell>
          <cell r="O27">
            <v>100</v>
          </cell>
          <cell r="P27">
            <v>3092</v>
          </cell>
          <cell r="Q27">
            <v>100</v>
          </cell>
          <cell r="R27">
            <v>3390</v>
          </cell>
          <cell r="S27">
            <v>100</v>
          </cell>
          <cell r="T27">
            <v>3890</v>
          </cell>
          <cell r="U27">
            <v>100</v>
          </cell>
          <cell r="V27"/>
          <cell r="W27"/>
          <cell r="X27"/>
          <cell r="Y27"/>
          <cell r="Z27"/>
          <cell r="AA27"/>
          <cell r="AB27">
            <v>10372</v>
          </cell>
          <cell r="AC27">
            <v>100</v>
          </cell>
          <cell r="AD27">
            <v>27702</v>
          </cell>
          <cell r="AE27">
            <v>100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/>
      <sheetData sheetId="2">
        <row r="13">
          <cell r="AP13">
            <v>34082</v>
          </cell>
        </row>
        <row r="14">
          <cell r="AP14">
            <v>31298</v>
          </cell>
        </row>
        <row r="15">
          <cell r="AP15">
            <v>2784</v>
          </cell>
        </row>
        <row r="16">
          <cell r="AP16">
            <v>0</v>
          </cell>
        </row>
        <row r="17">
          <cell r="AP17">
            <v>285.69045057677164</v>
          </cell>
        </row>
        <row r="18">
          <cell r="AP18">
            <v>285.69045057677164</v>
          </cell>
        </row>
        <row r="19">
          <cell r="AP19">
            <v>0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0</v>
          </cell>
        </row>
        <row r="23">
          <cell r="AP23">
            <v>14837.008757836888</v>
          </cell>
        </row>
        <row r="24">
          <cell r="AP24">
            <v>0</v>
          </cell>
        </row>
        <row r="25">
          <cell r="AP25">
            <v>8652.204513999086</v>
          </cell>
        </row>
        <row r="26">
          <cell r="AP26">
            <v>0</v>
          </cell>
        </row>
        <row r="27">
          <cell r="AP27">
            <v>6184.8042438377997</v>
          </cell>
        </row>
        <row r="28">
          <cell r="AP28">
            <v>15122.699208413658</v>
          </cell>
        </row>
        <row r="29">
          <cell r="AP29">
            <v>4.4371513433524021E-4</v>
          </cell>
        </row>
        <row r="32">
          <cell r="AP32">
            <v>16702</v>
          </cell>
        </row>
        <row r="33">
          <cell r="AP33">
            <v>676.33275000000003</v>
          </cell>
        </row>
        <row r="34">
          <cell r="AP34">
            <v>4.0494117470961563E-5</v>
          </cell>
        </row>
        <row r="37">
          <cell r="AP37">
            <v>25438000</v>
          </cell>
        </row>
        <row r="38">
          <cell r="AP38">
            <v>25438000</v>
          </cell>
        </row>
        <row r="39">
          <cell r="AP39">
            <v>1</v>
          </cell>
        </row>
        <row r="40">
          <cell r="AP40">
            <v>3.9311266609010145E-2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Assawa san"/>
      <sheetName val="Detail Table(Input this !)"/>
      <sheetName val="2020 Quality Business Plan"/>
    </sheetNames>
    <sheetDataSet>
      <sheetData sheetId="0"/>
      <sheetData sheetId="1"/>
      <sheetData sheetId="2"/>
      <sheetData sheetId="3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1510000</v>
          </cell>
          <cell r="I37">
            <v>1430</v>
          </cell>
          <cell r="J37">
            <v>2133000</v>
          </cell>
          <cell r="K37">
            <v>1430</v>
          </cell>
          <cell r="L37">
            <v>1697000</v>
          </cell>
          <cell r="M37">
            <v>1430</v>
          </cell>
          <cell r="N37">
            <v>2460000</v>
          </cell>
          <cell r="O37">
            <v>1430</v>
          </cell>
          <cell r="P37">
            <v>2782000</v>
          </cell>
          <cell r="Q37">
            <v>1430</v>
          </cell>
          <cell r="R37">
            <v>4269000</v>
          </cell>
          <cell r="S37">
            <v>1430</v>
          </cell>
          <cell r="AA37">
            <v>3884000</v>
          </cell>
          <cell r="AC37">
            <v>3520000</v>
          </cell>
          <cell r="AE37">
            <v>2522000</v>
          </cell>
          <cell r="AG37">
            <v>3548000</v>
          </cell>
          <cell r="AI37">
            <v>2649000</v>
          </cell>
          <cell r="AK37">
            <v>873000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zoomScaleNormal="100" zoomScaleSheetLayoutView="75" workbookViewId="0">
      <selection activeCell="G23" sqref="G23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1.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2" ht="13.5" customHeight="1" thickBot="1"/>
    <row r="2" spans="1:22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7"/>
      <c r="J2" s="45"/>
      <c r="K2" s="45" t="s">
        <v>5</v>
      </c>
      <c r="L2" s="45"/>
      <c r="M2" s="764" t="s">
        <v>6</v>
      </c>
      <c r="N2" s="45"/>
      <c r="O2" s="45" t="s">
        <v>7</v>
      </c>
      <c r="P2" s="47"/>
      <c r="Q2" s="45"/>
      <c r="R2" s="45" t="s">
        <v>8</v>
      </c>
      <c r="S2" s="45"/>
      <c r="T2" s="764" t="s">
        <v>9</v>
      </c>
      <c r="U2" s="764" t="s">
        <v>211</v>
      </c>
    </row>
    <row r="3" spans="1:22" s="48" customFormat="1" ht="21" customHeight="1" thickBot="1">
      <c r="A3" s="39"/>
      <c r="B3" s="49"/>
      <c r="C3" s="50"/>
      <c r="D3" s="51"/>
      <c r="E3" s="52" t="s">
        <v>10</v>
      </c>
      <c r="F3" s="363" t="s">
        <v>72</v>
      </c>
      <c r="G3" s="747">
        <v>44652</v>
      </c>
      <c r="H3" s="747">
        <v>44682</v>
      </c>
      <c r="I3" s="747">
        <v>44713</v>
      </c>
      <c r="J3" s="747">
        <v>44743</v>
      </c>
      <c r="K3" s="747">
        <v>44774</v>
      </c>
      <c r="L3" s="747">
        <v>44805</v>
      </c>
      <c r="M3" s="765"/>
      <c r="N3" s="747">
        <v>44835</v>
      </c>
      <c r="O3" s="747">
        <v>44866</v>
      </c>
      <c r="P3" s="747">
        <v>44896</v>
      </c>
      <c r="Q3" s="747">
        <v>44927</v>
      </c>
      <c r="R3" s="747">
        <v>44958</v>
      </c>
      <c r="S3" s="747">
        <v>44986</v>
      </c>
      <c r="T3" s="765"/>
      <c r="U3" s="765"/>
    </row>
    <row r="4" spans="1:22" s="48" customFormat="1" ht="18.75" customHeight="1">
      <c r="A4" s="39"/>
      <c r="B4" s="56"/>
      <c r="C4" s="768" t="s">
        <v>34</v>
      </c>
      <c r="D4" s="769"/>
      <c r="E4" s="364" t="s">
        <v>35</v>
      </c>
      <c r="F4" s="57"/>
      <c r="G4" s="58">
        <f>INDEX('[1]G3322 - GRUPO PILHAS ALK'!$B$8:$AA$13,2,MATCH(G$61,'[1]G3322 - GRUPO PILHAS ALK'!$B$7:$AA$7,0))</f>
        <v>1920</v>
      </c>
      <c r="H4" s="58">
        <f>INDEX('[1]G3322 - GRUPO PILHAS ALK'!$B$8:$AA$13,2,MATCH(H$61,'[1]G3322 - GRUPO PILHAS ALK'!$B$7:$AA$7,0))</f>
        <v>2143</v>
      </c>
      <c r="I4" s="610">
        <f>INDEX('[1]G3322 - GRUPO PILHAS ALK'!$B$8:$AA$13,2,MATCH(I$61,'[1]G3322 - GRUPO PILHAS ALK'!$B$7:$AA$7,0))</f>
        <v>1674</v>
      </c>
      <c r="J4" s="58">
        <f>INDEX('[1]G3322 - GRUPO PILHAS ALK'!$B$8:$AA$13,2,MATCH(J$61,'[1]G3322 - GRUPO PILHAS ALK'!$B$7:$AA$7,0))</f>
        <v>1968</v>
      </c>
      <c r="K4" s="58">
        <f>INDEX('[1]G3322 - GRUPO PILHAS ALK'!$B$8:$AA$13,2,MATCH(K$61,'[1]G3322 - GRUPO PILHAS ALK'!$B$7:$AA$7,0))</f>
        <v>1968</v>
      </c>
      <c r="L4" s="58">
        <f>INDEX('[1]G3322 - GRUPO PILHAS ALK'!$B$8:$AA$13,2,MATCH(L$61,'[1]G3322 - GRUPO PILHAS ALK'!$B$7:$AA$7,0))</f>
        <v>2331</v>
      </c>
      <c r="M4" s="59">
        <f>SUM(G4:L4)</f>
        <v>12004</v>
      </c>
      <c r="N4" s="58">
        <f>INDEX('[1]G3322 - GRUPO PILHAS ALK'!$B$8:$AA$13,2,MATCH(N$61,'[1]G3322 - GRUPO PILHAS ALK'!$B$7:$AA$7,0))</f>
        <v>2610</v>
      </c>
      <c r="O4" s="58">
        <f>INDEX('[1]G3322 - GRUPO PILHAS ALK'!$B$8:$AA$13,2,MATCH(O$61,'[1]G3322 - GRUPO PILHAS ALK'!$B$7:$AA$7,0))</f>
        <v>2534</v>
      </c>
      <c r="P4" s="610">
        <f>INDEX('[1]G3322 - GRUPO PILHAS ALK'!$B$8:$AA$13,2,MATCH(P$61,'[1]G3322 - GRUPO PILHAS ALK'!$B$7:$AA$7,0))</f>
        <v>1955</v>
      </c>
      <c r="Q4" s="58">
        <f>INDEX('[1]G3322 - GRUPO PILHAS ALK'!$B$8:$AA$13,2,MATCH(Q$61,'[1]G3322 - GRUPO PILHAS ALK'!$B$7:$AA$7,0))</f>
        <v>1644</v>
      </c>
      <c r="R4" s="58">
        <f>INDEX('[1]G3322 - GRUPO PILHAS ALK'!$B$8:$AA$13,2,MATCH(R$61,'[1]G3322 - GRUPO PILHAS ALK'!$B$7:$AA$7,0))</f>
        <v>1674</v>
      </c>
      <c r="S4" s="58">
        <f>INDEX('[1]G3322 - GRUPO PILHAS ALK'!$B$8:$AA$13,2,MATCH(S$61,'[1]G3322 - GRUPO PILHAS ALK'!$B$7:$AA$7,0))</f>
        <v>2046</v>
      </c>
      <c r="T4" s="59">
        <f>SUM(N4:S4)</f>
        <v>12463</v>
      </c>
      <c r="U4" s="59">
        <f>M4+T4</f>
        <v>24467</v>
      </c>
    </row>
    <row r="5" spans="1:22" s="48" customFormat="1" ht="18.75" customHeight="1">
      <c r="A5" s="39"/>
      <c r="B5" s="56"/>
      <c r="C5" s="770"/>
      <c r="D5" s="771"/>
      <c r="E5" s="365" t="s">
        <v>36</v>
      </c>
      <c r="F5" s="60"/>
      <c r="G5" s="61">
        <f>INDEX('[1]G3322 - GRUPO PILHAS ALK'!$B$8:$AA$13,6,MATCH(G$61,'[1]G3322 - GRUPO PILHAS ALK'!$B$7:$AA$7,0))</f>
        <v>204</v>
      </c>
      <c r="H5" s="61">
        <f>INDEX('[1]G3322 - GRUPO PILHAS ALK'!$B$8:$AA$13,6,MATCH(H$61,'[1]G3322 - GRUPO PILHAS ALK'!$B$7:$AA$7,0))</f>
        <v>203</v>
      </c>
      <c r="I5" s="611">
        <f>INDEX('[1]G3322 - GRUPO PILHAS ALK'!$B$8:$AA$13,6,MATCH(I$61,'[1]G3322 - GRUPO PILHAS ALK'!$B$7:$AA$7,0))</f>
        <v>202</v>
      </c>
      <c r="J5" s="61">
        <f>INDEX('[1]G3322 - GRUPO PILHAS ALK'!$B$8:$AA$13,6,MATCH(J$61,'[1]G3322 - GRUPO PILHAS ALK'!$B$7:$AA$7,0))</f>
        <v>209</v>
      </c>
      <c r="K5" s="61">
        <f>INDEX('[1]G3322 - GRUPO PILHAS ALK'!$B$8:$AA$13,6,MATCH(K$61,'[1]G3322 - GRUPO PILHAS ALK'!$B$7:$AA$7,0))</f>
        <v>209</v>
      </c>
      <c r="L5" s="61">
        <f>INDEX('[1]G3322 - GRUPO PILHAS ALK'!$B$8:$AA$13,6,MATCH(L$61,'[1]G3322 - GRUPO PILHAS ALK'!$B$7:$AA$7,0))</f>
        <v>247</v>
      </c>
      <c r="M5" s="62">
        <f>SUM(G5:L5)</f>
        <v>1274</v>
      </c>
      <c r="N5" s="61">
        <f>INDEX('[1]G3322 - GRUPO PILHAS ALK'!$B$8:$AA$13,6,MATCH(N$61,'[1]G3322 - GRUPO PILHAS ALK'!$B$7:$AA$7,0))</f>
        <v>252</v>
      </c>
      <c r="O5" s="61">
        <f>INDEX('[1]G3322 - GRUPO PILHAS ALK'!$B$8:$AA$13,6,MATCH(O$61,'[1]G3322 - GRUPO PILHAS ALK'!$B$7:$AA$7,0))</f>
        <v>252</v>
      </c>
      <c r="P5" s="611">
        <f>INDEX('[1]G3322 - GRUPO PILHAS ALK'!$B$8:$AA$13,6,MATCH(P$61,'[1]G3322 - GRUPO PILHAS ALK'!$B$7:$AA$7,0))</f>
        <v>247</v>
      </c>
      <c r="Q5" s="61">
        <f>INDEX('[1]G3322 - GRUPO PILHAS ALK'!$B$8:$AA$13,6,MATCH(Q$61,'[1]G3322 - GRUPO PILHAS ALK'!$B$7:$AA$7,0))</f>
        <v>175</v>
      </c>
      <c r="R5" s="61">
        <f>INDEX('[1]G3322 - GRUPO PILHAS ALK'!$B$8:$AA$13,6,MATCH(R$61,'[1]G3322 - GRUPO PILHAS ALK'!$B$7:$AA$7,0))</f>
        <v>178</v>
      </c>
      <c r="S5" s="61">
        <f>INDEX('[1]G3322 - GRUPO PILHAS ALK'!$B$8:$AA$13,6,MATCH(S$61,'[1]G3322 - GRUPO PILHAS ALK'!$B$7:$AA$7,0))</f>
        <v>217</v>
      </c>
      <c r="T5" s="62">
        <f>SUM(N5:S5)</f>
        <v>1321</v>
      </c>
      <c r="U5" s="62">
        <f>M5+T5</f>
        <v>2595</v>
      </c>
    </row>
    <row r="6" spans="1:22" s="48" customFormat="1" ht="21" customHeight="1" thickBot="1">
      <c r="A6" s="39"/>
      <c r="B6" s="56"/>
      <c r="C6" s="772"/>
      <c r="D6" s="773"/>
      <c r="E6" s="63"/>
      <c r="F6" s="366"/>
      <c r="G6" s="64">
        <f t="shared" ref="G6:L6" si="0">SUM(G4:G5)</f>
        <v>2124</v>
      </c>
      <c r="H6" s="64">
        <f t="shared" si="0"/>
        <v>2346</v>
      </c>
      <c r="I6" s="612">
        <f t="shared" si="0"/>
        <v>1876</v>
      </c>
      <c r="J6" s="64">
        <f t="shared" si="0"/>
        <v>2177</v>
      </c>
      <c r="K6" s="64">
        <f t="shared" si="0"/>
        <v>2177</v>
      </c>
      <c r="L6" s="64">
        <f t="shared" si="0"/>
        <v>2578</v>
      </c>
      <c r="M6" s="67">
        <f>SUM(G6:L6)</f>
        <v>13278</v>
      </c>
      <c r="N6" s="64">
        <f t="shared" ref="N6:S6" si="1">SUM(N4:N5)</f>
        <v>2862</v>
      </c>
      <c r="O6" s="64">
        <f t="shared" si="1"/>
        <v>2786</v>
      </c>
      <c r="P6" s="68">
        <f t="shared" si="1"/>
        <v>2202</v>
      </c>
      <c r="Q6" s="64">
        <f t="shared" si="1"/>
        <v>1819</v>
      </c>
      <c r="R6" s="64">
        <f t="shared" si="1"/>
        <v>1852</v>
      </c>
      <c r="S6" s="64">
        <f t="shared" si="1"/>
        <v>2263</v>
      </c>
      <c r="T6" s="67">
        <f>SUM(N6:S6)</f>
        <v>13784</v>
      </c>
      <c r="U6" s="67">
        <f>M6+T6</f>
        <v>27062</v>
      </c>
    </row>
    <row r="7" spans="1:22" ht="21" customHeight="1" thickBot="1">
      <c r="A7" s="69">
        <v>1</v>
      </c>
      <c r="B7" s="754" t="s">
        <v>71</v>
      </c>
      <c r="C7" s="755" t="s">
        <v>156</v>
      </c>
      <c r="D7" s="367" t="s">
        <v>73</v>
      </c>
      <c r="E7" s="368"/>
      <c r="F7" s="70"/>
      <c r="G7" s="71"/>
      <c r="H7" s="72"/>
      <c r="I7" s="75"/>
      <c r="J7" s="71"/>
      <c r="K7" s="72"/>
      <c r="L7" s="73"/>
      <c r="M7" s="540">
        <f>SUM(G7:L7)</f>
        <v>0</v>
      </c>
      <c r="N7" s="71"/>
      <c r="O7" s="72"/>
      <c r="P7" s="75"/>
      <c r="Q7" s="71"/>
      <c r="R7" s="72"/>
      <c r="S7" s="73"/>
      <c r="T7" s="540">
        <f>SUM(N7:S7)</f>
        <v>0</v>
      </c>
      <c r="U7" s="540">
        <f>M7+T7</f>
        <v>0</v>
      </c>
    </row>
    <row r="8" spans="1:22" ht="16.5" customHeight="1" thickTop="1">
      <c r="A8" s="69">
        <v>2</v>
      </c>
      <c r="B8" s="754"/>
      <c r="C8" s="756"/>
      <c r="D8" s="758" t="s">
        <v>74</v>
      </c>
      <c r="E8" s="113" t="s">
        <v>75</v>
      </c>
      <c r="F8" s="369" t="s">
        <v>78</v>
      </c>
      <c r="G8" s="76"/>
      <c r="H8" s="77"/>
      <c r="I8" s="613"/>
      <c r="J8" s="76"/>
      <c r="K8" s="77"/>
      <c r="L8" s="78"/>
      <c r="M8" s="541"/>
      <c r="N8" s="80"/>
      <c r="O8" s="81"/>
      <c r="P8" s="82"/>
      <c r="Q8" s="80"/>
      <c r="R8" s="81"/>
      <c r="S8" s="83"/>
      <c r="T8" s="541"/>
      <c r="U8" s="541"/>
    </row>
    <row r="9" spans="1:22" ht="16.5" customHeight="1">
      <c r="A9" s="69">
        <v>3</v>
      </c>
      <c r="B9" s="754"/>
      <c r="C9" s="756"/>
      <c r="D9" s="758"/>
      <c r="E9" s="113" t="s">
        <v>76</v>
      </c>
      <c r="F9" s="370" t="s">
        <v>79</v>
      </c>
      <c r="G9" s="84"/>
      <c r="H9" s="85"/>
      <c r="I9" s="614"/>
      <c r="J9" s="84"/>
      <c r="K9" s="85"/>
      <c r="L9" s="86"/>
      <c r="M9" s="542"/>
      <c r="N9" s="88"/>
      <c r="O9" s="89"/>
      <c r="P9" s="90"/>
      <c r="Q9" s="88"/>
      <c r="R9" s="89"/>
      <c r="S9" s="91"/>
      <c r="T9" s="542"/>
      <c r="U9" s="542"/>
    </row>
    <row r="10" spans="1:22" ht="16.5" customHeight="1">
      <c r="A10" s="69">
        <v>4</v>
      </c>
      <c r="B10" s="754"/>
      <c r="C10" s="756"/>
      <c r="D10" s="758"/>
      <c r="E10" s="92" t="s">
        <v>77</v>
      </c>
      <c r="F10" s="371" t="s">
        <v>80</v>
      </c>
      <c r="G10" s="599">
        <f>'2022 Quality Business Plan'!$G17/'2022 Quality Business Plan'!$G$13*'Detail Table(Forecast)'!G6*$V$10</f>
        <v>16.023879623336562</v>
      </c>
      <c r="H10" s="599">
        <f>'2022 Quality Business Plan'!$G17/'2022 Quality Business Plan'!$G$13*'Detail Table(Forecast)'!H6*$V$10</f>
        <v>17.698691900351967</v>
      </c>
      <c r="I10" s="599">
        <f>'2022 Quality Business Plan'!$G17/'2022 Quality Business Plan'!$G$13*'Detail Table(Forecast)'!I6*$V$10</f>
        <v>14.152918160724759</v>
      </c>
      <c r="J10" s="599">
        <f>'2022 Quality Business Plan'!$G17/'2022 Quality Business Plan'!$G$13*'Detail Table(Forecast)'!J6*$V$10</f>
        <v>16.423722193975376</v>
      </c>
      <c r="K10" s="599">
        <f>'2022 Quality Business Plan'!$G17/'2022 Quality Business Plan'!$G$13*'Detail Table(Forecast)'!K6*$V$10</f>
        <v>16.423722193975376</v>
      </c>
      <c r="L10" s="599">
        <f>'2022 Quality Business Plan'!$G17/'2022 Quality Business Plan'!$G$13*'Detail Table(Forecast)'!L6*$V$10</f>
        <v>19.448946171827522</v>
      </c>
      <c r="M10" s="543">
        <f>SUM(G10:L10)</f>
        <v>100.17188024419156</v>
      </c>
      <c r="N10" s="599">
        <f>'2022 Quality Business Plan'!$G17/'2022 Quality Business Plan'!$G$13*'Detail Table(Forecast)'!N6*$V$10</f>
        <v>21.591498814495878</v>
      </c>
      <c r="O10" s="599">
        <f>'2022 Quality Business Plan'!$G17/'2022 Quality Business Plan'!$G$13*'Detail Table(Forecast)'!O6*$V$10</f>
        <v>21.018139656598709</v>
      </c>
      <c r="P10" s="599">
        <f>'2022 Quality Business Plan'!$G17/'2022 Quality Business Plan'!$G$13*'Detail Table(Forecast)'!P6*$V$10</f>
        <v>16.612327180125757</v>
      </c>
      <c r="Q10" s="599">
        <f>'2022 Quality Business Plan'!$G17/'2022 Quality Business Plan'!$G$13*'Detail Table(Forecast)'!Q6*$V$10</f>
        <v>13.722898792301887</v>
      </c>
      <c r="R10" s="599">
        <f>'2022 Quality Business Plan'!$G17/'2022 Quality Business Plan'!$G$13*'Detail Table(Forecast)'!R6*$V$10</f>
        <v>13.971857374020393</v>
      </c>
      <c r="S10" s="599">
        <f>'2022 Quality Business Plan'!$G17/'2022 Quality Business Plan'!$G$13*'Detail Table(Forecast)'!S6*$V$10</f>
        <v>17.072523346332694</v>
      </c>
      <c r="T10" s="543">
        <f t="shared" ref="T10:T20" si="2">SUM(N10:S10)</f>
        <v>103.98924516387532</v>
      </c>
      <c r="U10" s="543">
        <f>M10+T10</f>
        <v>204.16112540806688</v>
      </c>
      <c r="V10" s="36">
        <v>0.9</v>
      </c>
    </row>
    <row r="11" spans="1:22" ht="19.5" customHeight="1">
      <c r="B11" s="754"/>
      <c r="C11" s="756"/>
      <c r="D11" s="758"/>
      <c r="E11" s="98"/>
      <c r="F11" s="372" t="s">
        <v>81</v>
      </c>
      <c r="G11" s="600">
        <f t="shared" ref="G11:L11" si="3">SUM(G8:G10)</f>
        <v>16.023879623336562</v>
      </c>
      <c r="H11" s="600">
        <f t="shared" si="3"/>
        <v>17.698691900351967</v>
      </c>
      <c r="I11" s="616">
        <f t="shared" si="3"/>
        <v>14.152918160724759</v>
      </c>
      <c r="J11" s="600">
        <f t="shared" si="3"/>
        <v>16.423722193975376</v>
      </c>
      <c r="K11" s="600">
        <f t="shared" si="3"/>
        <v>16.423722193975376</v>
      </c>
      <c r="L11" s="600">
        <f t="shared" si="3"/>
        <v>19.448946171827522</v>
      </c>
      <c r="M11" s="544">
        <f>SUM(G11:L11)</f>
        <v>100.17188024419156</v>
      </c>
      <c r="N11" s="600">
        <f t="shared" ref="N11:S11" si="4">SUM(N8:N10)</f>
        <v>21.591498814495878</v>
      </c>
      <c r="O11" s="600">
        <f t="shared" si="4"/>
        <v>21.018139656598709</v>
      </c>
      <c r="P11" s="605">
        <f t="shared" si="4"/>
        <v>16.612327180125757</v>
      </c>
      <c r="Q11" s="600">
        <f t="shared" si="4"/>
        <v>13.722898792301887</v>
      </c>
      <c r="R11" s="600">
        <f t="shared" si="4"/>
        <v>13.971857374020393</v>
      </c>
      <c r="S11" s="600">
        <f t="shared" si="4"/>
        <v>17.072523346332694</v>
      </c>
      <c r="T11" s="544">
        <f>SUM(N11:S11)</f>
        <v>103.98924516387532</v>
      </c>
      <c r="U11" s="544">
        <f>M11+T11</f>
        <v>204.16112540806688</v>
      </c>
    </row>
    <row r="12" spans="1:22" ht="16.5" customHeight="1">
      <c r="A12" s="69">
        <v>5</v>
      </c>
      <c r="B12" s="754"/>
      <c r="C12" s="756"/>
      <c r="D12" s="758"/>
      <c r="E12" s="113" t="s">
        <v>82</v>
      </c>
      <c r="F12" s="395" t="s">
        <v>84</v>
      </c>
      <c r="G12" s="103"/>
      <c r="H12" s="104"/>
      <c r="I12" s="107"/>
      <c r="J12" s="103"/>
      <c r="K12" s="104"/>
      <c r="L12" s="105"/>
      <c r="M12" s="545">
        <f t="shared" ref="M12:M20" si="5">SUM(G12:L12)</f>
        <v>0</v>
      </c>
      <c r="N12" s="103"/>
      <c r="O12" s="104"/>
      <c r="P12" s="107"/>
      <c r="Q12" s="103"/>
      <c r="R12" s="104"/>
      <c r="S12" s="105"/>
      <c r="T12" s="545">
        <f t="shared" si="2"/>
        <v>0</v>
      </c>
      <c r="U12" s="545">
        <f t="shared" ref="U12:U20" si="6">M12+T12</f>
        <v>0</v>
      </c>
    </row>
    <row r="13" spans="1:22" ht="16.5" customHeight="1">
      <c r="A13" s="69">
        <v>6</v>
      </c>
      <c r="B13" s="754"/>
      <c r="C13" s="756"/>
      <c r="D13" s="758"/>
      <c r="E13" s="113" t="s">
        <v>83</v>
      </c>
      <c r="F13" s="374" t="s">
        <v>85</v>
      </c>
      <c r="G13" s="111"/>
      <c r="H13" s="108"/>
      <c r="I13" s="112"/>
      <c r="J13" s="111"/>
      <c r="K13" s="108"/>
      <c r="L13" s="109"/>
      <c r="M13" s="546">
        <f t="shared" si="5"/>
        <v>0</v>
      </c>
      <c r="N13" s="111"/>
      <c r="O13" s="108"/>
      <c r="P13" s="112"/>
      <c r="Q13" s="111"/>
      <c r="R13" s="108"/>
      <c r="S13" s="109"/>
      <c r="T13" s="546">
        <f t="shared" si="2"/>
        <v>0</v>
      </c>
      <c r="U13" s="546">
        <f t="shared" si="6"/>
        <v>0</v>
      </c>
    </row>
    <row r="14" spans="1:22" ht="16.5" customHeight="1">
      <c r="A14" s="69">
        <v>7</v>
      </c>
      <c r="B14" s="754"/>
      <c r="C14" s="756"/>
      <c r="D14" s="758"/>
      <c r="E14" s="113"/>
      <c r="F14" s="399" t="s">
        <v>86</v>
      </c>
      <c r="G14" s="114"/>
      <c r="H14" s="115"/>
      <c r="I14" s="118"/>
      <c r="J14" s="114"/>
      <c r="K14" s="115"/>
      <c r="L14" s="116"/>
      <c r="M14" s="547"/>
      <c r="N14" s="114"/>
      <c r="O14" s="115"/>
      <c r="P14" s="118"/>
      <c r="Q14" s="114"/>
      <c r="R14" s="115"/>
      <c r="S14" s="116"/>
      <c r="T14" s="547"/>
      <c r="U14" s="547"/>
    </row>
    <row r="15" spans="1:22" ht="16.5" customHeight="1">
      <c r="A15" s="69">
        <v>8</v>
      </c>
      <c r="B15" s="754"/>
      <c r="C15" s="756"/>
      <c r="D15" s="758"/>
      <c r="E15" s="113"/>
      <c r="F15" s="398" t="s">
        <v>87</v>
      </c>
      <c r="G15" s="111"/>
      <c r="H15" s="108"/>
      <c r="I15" s="112"/>
      <c r="J15" s="111"/>
      <c r="K15" s="108"/>
      <c r="L15" s="109"/>
      <c r="M15" s="546">
        <f t="shared" si="5"/>
        <v>0</v>
      </c>
      <c r="N15" s="111"/>
      <c r="O15" s="108"/>
      <c r="P15" s="112"/>
      <c r="Q15" s="111"/>
      <c r="R15" s="108"/>
      <c r="S15" s="109"/>
      <c r="T15" s="546">
        <f t="shared" si="2"/>
        <v>0</v>
      </c>
      <c r="U15" s="546">
        <f t="shared" si="6"/>
        <v>0</v>
      </c>
    </row>
    <row r="16" spans="1:22" ht="16.5" customHeight="1">
      <c r="A16" s="69">
        <v>9</v>
      </c>
      <c r="B16" s="754"/>
      <c r="C16" s="756"/>
      <c r="D16" s="758"/>
      <c r="E16" s="113"/>
      <c r="F16" s="373" t="s">
        <v>118</v>
      </c>
      <c r="G16" s="93"/>
      <c r="H16" s="93"/>
      <c r="I16" s="97"/>
      <c r="J16" s="487"/>
      <c r="K16" s="94"/>
      <c r="L16" s="94"/>
      <c r="M16" s="548">
        <f t="shared" si="5"/>
        <v>0</v>
      </c>
      <c r="N16" s="94"/>
      <c r="O16" s="94"/>
      <c r="P16" s="97"/>
      <c r="Q16" s="93"/>
      <c r="R16" s="94"/>
      <c r="S16" s="95"/>
      <c r="T16" s="548">
        <f t="shared" si="2"/>
        <v>0</v>
      </c>
      <c r="U16" s="548">
        <f t="shared" si="6"/>
        <v>0</v>
      </c>
    </row>
    <row r="17" spans="1:21" ht="19.5" customHeight="1">
      <c r="B17" s="754"/>
      <c r="C17" s="756"/>
      <c r="D17" s="758"/>
      <c r="E17" s="113"/>
      <c r="F17" s="372" t="s">
        <v>88</v>
      </c>
      <c r="G17" s="600">
        <f>SUM(G12:G16)</f>
        <v>0</v>
      </c>
      <c r="H17" s="600">
        <v>0</v>
      </c>
      <c r="I17" s="616">
        <v>0</v>
      </c>
      <c r="J17" s="600">
        <v>0</v>
      </c>
      <c r="K17" s="600">
        <v>0</v>
      </c>
      <c r="L17" s="600">
        <v>0</v>
      </c>
      <c r="M17" s="543">
        <f>SUM(G17:L17)</f>
        <v>0</v>
      </c>
      <c r="N17" s="600">
        <v>0</v>
      </c>
      <c r="O17" s="600">
        <v>0</v>
      </c>
      <c r="P17" s="605">
        <v>0</v>
      </c>
      <c r="Q17" s="600">
        <v>0</v>
      </c>
      <c r="R17" s="600">
        <v>0</v>
      </c>
      <c r="S17" s="600">
        <v>0</v>
      </c>
      <c r="T17" s="543">
        <f>SUM(N17:S17)</f>
        <v>0</v>
      </c>
      <c r="U17" s="543">
        <f t="shared" si="6"/>
        <v>0</v>
      </c>
    </row>
    <row r="18" spans="1:21" ht="19.5" customHeight="1">
      <c r="A18" s="69">
        <v>10</v>
      </c>
      <c r="B18" s="754"/>
      <c r="C18" s="756"/>
      <c r="D18" s="758"/>
      <c r="E18" s="375" t="s">
        <v>89</v>
      </c>
      <c r="F18" s="124"/>
      <c r="G18" s="125"/>
      <c r="H18" s="126"/>
      <c r="I18" s="129"/>
      <c r="J18" s="125"/>
      <c r="K18" s="126"/>
      <c r="L18" s="127"/>
      <c r="M18" s="549">
        <f t="shared" si="5"/>
        <v>0</v>
      </c>
      <c r="N18" s="125"/>
      <c r="O18" s="126"/>
      <c r="P18" s="129"/>
      <c r="Q18" s="125"/>
      <c r="R18" s="126"/>
      <c r="S18" s="127"/>
      <c r="T18" s="549">
        <f>SUM(N18:S18)</f>
        <v>0</v>
      </c>
      <c r="U18" s="549">
        <f t="shared" si="6"/>
        <v>0</v>
      </c>
    </row>
    <row r="19" spans="1:21" ht="19.5" customHeight="1">
      <c r="A19" s="69">
        <v>11</v>
      </c>
      <c r="B19" s="754"/>
      <c r="C19" s="756"/>
      <c r="D19" s="758"/>
      <c r="E19" s="375" t="s">
        <v>90</v>
      </c>
      <c r="F19" s="124"/>
      <c r="G19" s="125"/>
      <c r="H19" s="126"/>
      <c r="I19" s="129"/>
      <c r="J19" s="125"/>
      <c r="K19" s="126"/>
      <c r="L19" s="127"/>
      <c r="M19" s="549">
        <f t="shared" si="5"/>
        <v>0</v>
      </c>
      <c r="N19" s="125"/>
      <c r="O19" s="126"/>
      <c r="P19" s="129"/>
      <c r="Q19" s="125"/>
      <c r="R19" s="126"/>
      <c r="S19" s="127"/>
      <c r="T19" s="549">
        <f t="shared" si="2"/>
        <v>0</v>
      </c>
      <c r="U19" s="549">
        <f t="shared" si="6"/>
        <v>0</v>
      </c>
    </row>
    <row r="20" spans="1:21" ht="19.5" customHeight="1">
      <c r="A20" s="69">
        <v>12</v>
      </c>
      <c r="B20" s="754"/>
      <c r="C20" s="756"/>
      <c r="D20" s="758"/>
      <c r="E20" s="375" t="s">
        <v>91</v>
      </c>
      <c r="F20" s="130"/>
      <c r="G20" s="125"/>
      <c r="H20" s="126"/>
      <c r="I20" s="129"/>
      <c r="J20" s="125"/>
      <c r="K20" s="126"/>
      <c r="L20" s="127"/>
      <c r="M20" s="549">
        <f t="shared" si="5"/>
        <v>0</v>
      </c>
      <c r="N20" s="125"/>
      <c r="O20" s="126"/>
      <c r="P20" s="129"/>
      <c r="Q20" s="125"/>
      <c r="R20" s="126"/>
      <c r="S20" s="127"/>
      <c r="T20" s="549">
        <f t="shared" si="2"/>
        <v>0</v>
      </c>
      <c r="U20" s="549">
        <f t="shared" si="6"/>
        <v>0</v>
      </c>
    </row>
    <row r="21" spans="1:21" ht="21" customHeight="1" thickBot="1">
      <c r="B21" s="754"/>
      <c r="C21" s="756"/>
      <c r="D21" s="759"/>
      <c r="E21" s="760" t="s">
        <v>92</v>
      </c>
      <c r="F21" s="761"/>
      <c r="G21" s="601">
        <f t="shared" ref="G21:L21" si="7">SUM(G11,G17:G20)</f>
        <v>16.023879623336562</v>
      </c>
      <c r="H21" s="602">
        <f t="shared" si="7"/>
        <v>17.698691900351967</v>
      </c>
      <c r="I21" s="617">
        <f t="shared" si="7"/>
        <v>14.152918160724759</v>
      </c>
      <c r="J21" s="602">
        <f t="shared" si="7"/>
        <v>16.423722193975376</v>
      </c>
      <c r="K21" s="602">
        <f t="shared" si="7"/>
        <v>16.423722193975376</v>
      </c>
      <c r="L21" s="603">
        <f t="shared" si="7"/>
        <v>19.448946171827522</v>
      </c>
      <c r="M21" s="550">
        <f>SUM(G21:L21)</f>
        <v>100.17188024419156</v>
      </c>
      <c r="N21" s="601">
        <f t="shared" ref="N21:S21" si="8">SUM(N11,N17:N20)</f>
        <v>21.591498814495878</v>
      </c>
      <c r="O21" s="602">
        <f t="shared" si="8"/>
        <v>21.018139656598709</v>
      </c>
      <c r="P21" s="606">
        <f t="shared" si="8"/>
        <v>16.612327180125757</v>
      </c>
      <c r="Q21" s="602">
        <f t="shared" si="8"/>
        <v>13.722898792301887</v>
      </c>
      <c r="R21" s="602">
        <f t="shared" si="8"/>
        <v>13.971857374020393</v>
      </c>
      <c r="S21" s="603">
        <f t="shared" si="8"/>
        <v>17.072523346332694</v>
      </c>
      <c r="T21" s="550">
        <f>SUM(N21:S21)</f>
        <v>103.98924516387532</v>
      </c>
      <c r="U21" s="550">
        <f>M21+T21</f>
        <v>204.16112540806688</v>
      </c>
    </row>
    <row r="22" spans="1:21" ht="18" customHeight="1" thickTop="1">
      <c r="A22" s="69">
        <v>13</v>
      </c>
      <c r="B22" s="754"/>
      <c r="C22" s="756"/>
      <c r="D22" s="762" t="s">
        <v>153</v>
      </c>
      <c r="E22" s="376" t="s">
        <v>93</v>
      </c>
      <c r="F22" s="136"/>
      <c r="G22" s="599">
        <f>'2022 Quality Business Plan'!$G24/'2022 Quality Business Plan'!$G$13*'Detail Table(Forecast)'!G$6*$V$10</f>
        <v>0</v>
      </c>
      <c r="H22" s="599">
        <f>'2022 Quality Business Plan'!$G24/'2022 Quality Business Plan'!$G$13*'Detail Table(Forecast)'!H$6*$V$10</f>
        <v>0</v>
      </c>
      <c r="I22" s="615">
        <f>'2022 Quality Business Plan'!$G24/'2022 Quality Business Plan'!$G$13*'Detail Table(Forecast)'!I$6*$V$10</f>
        <v>0</v>
      </c>
      <c r="J22" s="599">
        <f>'2022 Quality Business Plan'!$G24/'2022 Quality Business Plan'!$G$13*'Detail Table(Forecast)'!J$6*$V$10</f>
        <v>0</v>
      </c>
      <c r="K22" s="599">
        <f>'2022 Quality Business Plan'!$G24/'2022 Quality Business Plan'!$G$13*'Detail Table(Forecast)'!K$6*$V$10</f>
        <v>0</v>
      </c>
      <c r="L22" s="599">
        <f>'2022 Quality Business Plan'!$G24/'2022 Quality Business Plan'!$G$13*'Detail Table(Forecast)'!L$6*$V$10</f>
        <v>0</v>
      </c>
      <c r="M22" s="551">
        <f>SUM(G22:L22)</f>
        <v>0</v>
      </c>
      <c r="N22" s="599">
        <f>'2022 Quality Business Plan'!$G24/'2022 Quality Business Plan'!$G$13*'Detail Table(Forecast)'!N$6*$V$10</f>
        <v>0</v>
      </c>
      <c r="O22" s="599">
        <f>'2022 Quality Business Plan'!$G24/'2022 Quality Business Plan'!$G$13*'Detail Table(Forecast)'!O$6*$V$10</f>
        <v>0</v>
      </c>
      <c r="P22" s="615">
        <f>'2022 Quality Business Plan'!$G24/'2022 Quality Business Plan'!$G$13*'Detail Table(Forecast)'!P$6*$V$10</f>
        <v>0</v>
      </c>
      <c r="Q22" s="599">
        <f>'2022 Quality Business Plan'!$G24/'2022 Quality Business Plan'!$G$13*'Detail Table(Forecast)'!Q$6*$V$10</f>
        <v>0</v>
      </c>
      <c r="R22" s="599">
        <f>'2022 Quality Business Plan'!$G24/'2022 Quality Business Plan'!$G$13*'Detail Table(Forecast)'!R$6*$V$10</f>
        <v>0</v>
      </c>
      <c r="S22" s="599">
        <f>'2022 Quality Business Plan'!$G24/'2022 Quality Business Plan'!$G$13*'Detail Table(Forecast)'!S$6*$V$10</f>
        <v>0</v>
      </c>
      <c r="T22" s="551">
        <f>SUM(N22:S22)</f>
        <v>0</v>
      </c>
      <c r="U22" s="551">
        <f>M22+T22</f>
        <v>0</v>
      </c>
    </row>
    <row r="23" spans="1:21" ht="16.5" customHeight="1">
      <c r="A23" s="69">
        <v>14</v>
      </c>
      <c r="B23" s="754"/>
      <c r="C23" s="756"/>
      <c r="D23" s="763"/>
      <c r="E23" s="377" t="s">
        <v>94</v>
      </c>
      <c r="F23" s="397" t="s">
        <v>96</v>
      </c>
      <c r="G23" s="599">
        <f>INDEX('[2]BP - ORIGINAL'!$E$31:$V$31,1,MATCH(G3,'[2]BP - ORIGINAL'!$E$4:$V$4,0))</f>
        <v>386.71510310747789</v>
      </c>
      <c r="H23" s="599">
        <f>INDEX('[2]BP - ORIGINAL'!$E$31:$V$31,1,MATCH(H3,'[2]BP - ORIGINAL'!$E$4:$V$4,0))</f>
        <v>574.36427630099968</v>
      </c>
      <c r="I23" s="599">
        <f>INDEX('[2]BP - ORIGINAL'!$E$31:$V$31,1,MATCH(I3,'[2]BP - ORIGINAL'!$E$4:$V$4,0))</f>
        <v>557.82124367902657</v>
      </c>
      <c r="J23" s="599">
        <f>INDEX('[2]BP - ORIGINAL'!$E$31:$V$31,1,MATCH(J3,'[2]BP - ORIGINAL'!$E$4:$V$4,0))</f>
        <v>596.6518287514175</v>
      </c>
      <c r="K23" s="599">
        <f>INDEX('[2]BP - ORIGINAL'!$E$31:$V$31,1,MATCH(K3,'[2]BP - ORIGINAL'!$E$4:$V$4,0))</f>
        <v>594.83891477482086</v>
      </c>
      <c r="L23" s="599">
        <f>INDEX('[2]BP - ORIGINAL'!$E$31:$V$31,1,MATCH(L3,'[2]BP - ORIGINAL'!$E$4:$V$4,0))</f>
        <v>642.29854024908332</v>
      </c>
      <c r="M23" s="545">
        <f>SUM(G23:L23)</f>
        <v>3352.6899068628254</v>
      </c>
      <c r="N23" s="599">
        <f>INDEX('[2]BP - ORIGINAL'!$E$62:$V$62,1,MATCH(N3,'[2]BP - ORIGINAL'!$E$35:$V$35,0))</f>
        <v>677.81193526396282</v>
      </c>
      <c r="O23" s="599">
        <f>INDEX('[2]BP - ORIGINAL'!$E$62:$V$62,1,MATCH(O3,'[2]BP - ORIGINAL'!$E$35:$V$35,0))</f>
        <v>628.59298456293754</v>
      </c>
      <c r="P23" s="599">
        <f>INDEX('[2]BP - ORIGINAL'!$E$62:$V$62,1,MATCH(P3,'[2]BP - ORIGINAL'!$E$35:$V$35,0))</f>
        <v>386.77229566411688</v>
      </c>
      <c r="Q23" s="599">
        <f>INDEX('[2]BP - ORIGINAL'!$E$62:$V$62,1,MATCH(Q3,'[2]BP - ORIGINAL'!$E$35:$V$35,0))</f>
        <v>440.10704398687716</v>
      </c>
      <c r="R23" s="599">
        <f>INDEX('[2]BP - ORIGINAL'!$E$62:$V$62,1,MATCH(R3,'[2]BP - ORIGINAL'!$E$35:$V$35,0))</f>
        <v>557.1364885061646</v>
      </c>
      <c r="S23" s="599">
        <f>INDEX('[2]BP - ORIGINAL'!$E$62:$V$62,1,MATCH(S3,'[2]BP - ORIGINAL'!$E$35:$V$35,0))</f>
        <v>233.28325703801747</v>
      </c>
      <c r="T23" s="545">
        <f t="shared" ref="T23:T32" si="9">SUM(N23:S23)</f>
        <v>2923.7040050220762</v>
      </c>
      <c r="U23" s="545">
        <f>M23+T23</f>
        <v>6276.3939118849012</v>
      </c>
    </row>
    <row r="24" spans="1:21" ht="16.5" customHeight="1">
      <c r="A24" s="69">
        <v>15</v>
      </c>
      <c r="B24" s="754"/>
      <c r="C24" s="756"/>
      <c r="D24" s="763"/>
      <c r="E24" s="92" t="s">
        <v>95</v>
      </c>
      <c r="F24" s="370" t="s">
        <v>97</v>
      </c>
      <c r="G24" s="114"/>
      <c r="H24" s="115"/>
      <c r="I24" s="118"/>
      <c r="J24" s="114"/>
      <c r="K24" s="115"/>
      <c r="L24" s="116"/>
      <c r="M24" s="547"/>
      <c r="N24" s="114"/>
      <c r="O24" s="115"/>
      <c r="P24" s="118"/>
      <c r="Q24" s="114"/>
      <c r="R24" s="115"/>
      <c r="S24" s="116"/>
      <c r="T24" s="547"/>
      <c r="U24" s="547"/>
    </row>
    <row r="25" spans="1:21" ht="16.5" customHeight="1">
      <c r="A25" s="69">
        <v>16</v>
      </c>
      <c r="B25" s="754"/>
      <c r="C25" s="756"/>
      <c r="D25" s="763"/>
      <c r="E25" s="92"/>
      <c r="F25" s="396" t="s">
        <v>98</v>
      </c>
      <c r="G25" s="111"/>
      <c r="H25" s="108"/>
      <c r="I25" s="112"/>
      <c r="J25" s="111"/>
      <c r="K25" s="108"/>
      <c r="L25" s="109"/>
      <c r="M25" s="546">
        <f>SUM(G25:L25)</f>
        <v>0</v>
      </c>
      <c r="N25" s="111"/>
      <c r="O25" s="108"/>
      <c r="P25" s="112"/>
      <c r="Q25" s="111"/>
      <c r="R25" s="108"/>
      <c r="S25" s="109"/>
      <c r="T25" s="546">
        <f t="shared" si="9"/>
        <v>0</v>
      </c>
      <c r="U25" s="546">
        <f>M25+T25</f>
        <v>0</v>
      </c>
    </row>
    <row r="26" spans="1:21" ht="16.5" customHeight="1">
      <c r="A26" s="69">
        <v>17</v>
      </c>
      <c r="B26" s="754"/>
      <c r="C26" s="756"/>
      <c r="D26" s="763"/>
      <c r="E26" s="92"/>
      <c r="F26" s="370" t="s">
        <v>99</v>
      </c>
      <c r="G26" s="114"/>
      <c r="H26" s="115"/>
      <c r="I26" s="118"/>
      <c r="J26" s="114"/>
      <c r="K26" s="115"/>
      <c r="L26" s="116"/>
      <c r="M26" s="547"/>
      <c r="N26" s="114"/>
      <c r="O26" s="115"/>
      <c r="P26" s="118"/>
      <c r="Q26" s="114"/>
      <c r="R26" s="115"/>
      <c r="S26" s="116"/>
      <c r="T26" s="547"/>
      <c r="U26" s="547"/>
    </row>
    <row r="27" spans="1:21" ht="16.5" customHeight="1">
      <c r="A27" s="69">
        <v>18</v>
      </c>
      <c r="B27" s="754"/>
      <c r="C27" s="756"/>
      <c r="D27" s="763"/>
      <c r="E27" s="142"/>
      <c r="F27" s="378" t="s">
        <v>44</v>
      </c>
      <c r="G27" s="599"/>
      <c r="H27" s="599"/>
      <c r="I27" s="615"/>
      <c r="J27" s="599"/>
      <c r="K27" s="599"/>
      <c r="L27" s="599"/>
      <c r="M27" s="548">
        <f t="shared" ref="M27:M34" si="10">SUM(G27:L27)</f>
        <v>0</v>
      </c>
      <c r="N27" s="599"/>
      <c r="O27" s="599"/>
      <c r="P27" s="604"/>
      <c r="Q27" s="599"/>
      <c r="R27" s="599"/>
      <c r="S27" s="599"/>
      <c r="T27" s="548">
        <f t="shared" si="9"/>
        <v>0</v>
      </c>
      <c r="U27" s="548">
        <f t="shared" ref="U27:U34" si="11">M27+T27</f>
        <v>0</v>
      </c>
    </row>
    <row r="28" spans="1:21" ht="18" customHeight="1">
      <c r="B28" s="754"/>
      <c r="C28" s="756"/>
      <c r="D28" s="763"/>
      <c r="E28" s="143"/>
      <c r="F28" s="379" t="s">
        <v>100</v>
      </c>
      <c r="G28" s="600">
        <f>SUM(G23:G27)</f>
        <v>386.71510310747789</v>
      </c>
      <c r="H28" s="600">
        <f t="shared" ref="H28:N28" si="12">SUM(H23:H27)</f>
        <v>574.36427630099968</v>
      </c>
      <c r="I28" s="616">
        <f t="shared" si="12"/>
        <v>557.82124367902657</v>
      </c>
      <c r="J28" s="600">
        <f t="shared" si="12"/>
        <v>596.6518287514175</v>
      </c>
      <c r="K28" s="600">
        <f t="shared" si="12"/>
        <v>594.83891477482086</v>
      </c>
      <c r="L28" s="600">
        <f t="shared" si="12"/>
        <v>642.29854024908332</v>
      </c>
      <c r="M28" s="544">
        <f t="shared" si="10"/>
        <v>3352.6899068628254</v>
      </c>
      <c r="N28" s="600">
        <f t="shared" si="12"/>
        <v>677.81193526396282</v>
      </c>
      <c r="O28" s="600">
        <f>SUM(O23:O27)</f>
        <v>628.59298456293754</v>
      </c>
      <c r="P28" s="616">
        <f>SUM(P23:P27)</f>
        <v>386.77229566411688</v>
      </c>
      <c r="Q28" s="600">
        <f>SUM(Q23:Q27)</f>
        <v>440.10704398687716</v>
      </c>
      <c r="R28" s="600">
        <f>SUM(R23:R27)</f>
        <v>557.1364885061646</v>
      </c>
      <c r="S28" s="600">
        <f>SUM(S23:S27)</f>
        <v>233.28325703801747</v>
      </c>
      <c r="T28" s="544">
        <f>SUM(N28:S28)</f>
        <v>2923.7040050220762</v>
      </c>
      <c r="U28" s="544">
        <f t="shared" si="11"/>
        <v>6276.3939118849012</v>
      </c>
    </row>
    <row r="29" spans="1:21" ht="16.5" customHeight="1">
      <c r="A29" s="69">
        <v>19</v>
      </c>
      <c r="B29" s="754"/>
      <c r="C29" s="756"/>
      <c r="D29" s="763"/>
      <c r="E29" s="377" t="s">
        <v>101</v>
      </c>
      <c r="F29" s="397" t="s">
        <v>103</v>
      </c>
      <c r="G29" s="240"/>
      <c r="H29" s="240"/>
      <c r="I29" s="618"/>
      <c r="J29" s="240"/>
      <c r="K29" s="240"/>
      <c r="L29" s="240"/>
      <c r="M29" s="545">
        <f t="shared" si="10"/>
        <v>0</v>
      </c>
      <c r="N29" s="240"/>
      <c r="O29" s="240"/>
      <c r="P29" s="607"/>
      <c r="Q29" s="240"/>
      <c r="R29" s="240"/>
      <c r="S29" s="240"/>
      <c r="T29" s="545">
        <f t="shared" si="9"/>
        <v>0</v>
      </c>
      <c r="U29" s="545">
        <f t="shared" si="11"/>
        <v>0</v>
      </c>
    </row>
    <row r="30" spans="1:21" ht="16.5" customHeight="1">
      <c r="A30" s="69">
        <v>20</v>
      </c>
      <c r="B30" s="754"/>
      <c r="C30" s="756"/>
      <c r="D30" s="763"/>
      <c r="E30" s="92" t="s">
        <v>102</v>
      </c>
      <c r="F30" s="374" t="s">
        <v>119</v>
      </c>
      <c r="G30" s="241"/>
      <c r="H30" s="242"/>
      <c r="I30" s="244"/>
      <c r="J30" s="245"/>
      <c r="K30" s="242"/>
      <c r="L30" s="243"/>
      <c r="M30" s="552">
        <f t="shared" si="10"/>
        <v>0</v>
      </c>
      <c r="N30" s="243"/>
      <c r="O30" s="242"/>
      <c r="P30" s="244"/>
      <c r="Q30" s="245"/>
      <c r="R30" s="242"/>
      <c r="S30" s="243"/>
      <c r="T30" s="552">
        <f t="shared" si="9"/>
        <v>0</v>
      </c>
      <c r="U30" s="552">
        <f t="shared" si="11"/>
        <v>0</v>
      </c>
    </row>
    <row r="31" spans="1:21" ht="18" customHeight="1">
      <c r="B31" s="754"/>
      <c r="C31" s="756"/>
      <c r="D31" s="758"/>
      <c r="E31" s="98"/>
      <c r="F31" s="379" t="s">
        <v>104</v>
      </c>
      <c r="G31" s="120">
        <f t="shared" ref="G31:L31" si="13">SUM(G29:G30)</f>
        <v>0</v>
      </c>
      <c r="H31" s="121">
        <f t="shared" si="13"/>
        <v>0</v>
      </c>
      <c r="I31" s="123">
        <f t="shared" si="13"/>
        <v>0</v>
      </c>
      <c r="J31" s="120">
        <f t="shared" si="13"/>
        <v>0</v>
      </c>
      <c r="K31" s="121">
        <f t="shared" si="13"/>
        <v>0</v>
      </c>
      <c r="L31" s="122">
        <f t="shared" si="13"/>
        <v>0</v>
      </c>
      <c r="M31" s="543">
        <f t="shared" si="10"/>
        <v>0</v>
      </c>
      <c r="N31" s="120">
        <f t="shared" ref="N31:S31" si="14">SUM(N29:N30)</f>
        <v>0</v>
      </c>
      <c r="O31" s="121">
        <f t="shared" si="14"/>
        <v>0</v>
      </c>
      <c r="P31" s="123">
        <f t="shared" si="14"/>
        <v>0</v>
      </c>
      <c r="Q31" s="120">
        <f t="shared" si="14"/>
        <v>0</v>
      </c>
      <c r="R31" s="121">
        <f t="shared" si="14"/>
        <v>0</v>
      </c>
      <c r="S31" s="122">
        <f t="shared" si="14"/>
        <v>0</v>
      </c>
      <c r="T31" s="543">
        <f>SUM(N31:S31)</f>
        <v>0</v>
      </c>
      <c r="U31" s="543">
        <f t="shared" si="11"/>
        <v>0</v>
      </c>
    </row>
    <row r="32" spans="1:21" ht="18" customHeight="1">
      <c r="A32" s="69">
        <v>21</v>
      </c>
      <c r="B32" s="754"/>
      <c r="C32" s="756"/>
      <c r="D32" s="758"/>
      <c r="E32" s="375" t="s">
        <v>105</v>
      </c>
      <c r="F32" s="130"/>
      <c r="G32" s="599">
        <f>('[3]SJCPIL-R 17-204-01 (Forecat)'!E$45)</f>
        <v>393.07986492399999</v>
      </c>
      <c r="H32" s="599">
        <f>('[3]SJCPIL-R 17-204-01 (Forecat)'!F$45)</f>
        <v>430.76999862399998</v>
      </c>
      <c r="I32" s="599">
        <f>('[3]SJCPIL-R 17-204-01 (Forecat)'!G$45)</f>
        <v>339.49031702399998</v>
      </c>
      <c r="J32" s="599">
        <f>('[3]SJCPIL-R 17-204-01 (Forecat)'!I$45)</f>
        <v>393.84413802400002</v>
      </c>
      <c r="K32" s="599">
        <f>('[3]SJCPIL-R 17-204-01 (Forecat)'!J$45)</f>
        <v>393.84413802400002</v>
      </c>
      <c r="L32" s="599">
        <f>('[3]SJCPIL-R 17-204-01 (Forecat)'!K$45)</f>
        <v>432.46359422399996</v>
      </c>
      <c r="M32" s="548">
        <f t="shared" si="10"/>
        <v>2383.492050844</v>
      </c>
      <c r="N32" s="599">
        <f>('[3]SJCPIL-R 17-204-01 (Forecat)'!M$45)</f>
        <v>466.66088932399998</v>
      </c>
      <c r="O32" s="599">
        <f>('[3]SJCPIL-R 17-204-01 (Forecat)'!N$45)</f>
        <v>465.237990524</v>
      </c>
      <c r="P32" s="599">
        <f>('[3]SJCPIL-R 17-204-01 (Forecat)'!O$45)</f>
        <v>376.280829224</v>
      </c>
      <c r="Q32" s="599">
        <f>('[3]SJCPIL-R 17-204-01 (Forecat)'!Q$45)</f>
        <v>359.511494524</v>
      </c>
      <c r="R32" s="599">
        <f>('[3]SJCPIL-R 17-204-01 (Forecat)'!R$45)</f>
        <v>372.159065924</v>
      </c>
      <c r="S32" s="599">
        <f>('[3]SJCPIL-R 17-204-01 (Forecat)'!S$45)</f>
        <v>393.07986492399999</v>
      </c>
      <c r="T32" s="548">
        <f t="shared" si="9"/>
        <v>2432.930134444</v>
      </c>
      <c r="U32" s="548">
        <f t="shared" si="11"/>
        <v>4816.422185288</v>
      </c>
    </row>
    <row r="33" spans="1:21" ht="21" customHeight="1" thickBot="1">
      <c r="B33" s="754"/>
      <c r="C33" s="756"/>
      <c r="D33" s="759"/>
      <c r="E33" s="760" t="s">
        <v>106</v>
      </c>
      <c r="F33" s="761"/>
      <c r="G33" s="601">
        <f t="shared" ref="G33:L33" si="15">SUM(G22,G28,G31,G32)</f>
        <v>779.79496803147788</v>
      </c>
      <c r="H33" s="602">
        <f t="shared" si="15"/>
        <v>1005.1342749249997</v>
      </c>
      <c r="I33" s="617">
        <f t="shared" si="15"/>
        <v>897.31156070302654</v>
      </c>
      <c r="J33" s="602">
        <f t="shared" si="15"/>
        <v>990.49596677541751</v>
      </c>
      <c r="K33" s="602">
        <f t="shared" si="15"/>
        <v>988.68305279882088</v>
      </c>
      <c r="L33" s="603">
        <f t="shared" si="15"/>
        <v>1074.7621344730833</v>
      </c>
      <c r="M33" s="550">
        <f t="shared" si="10"/>
        <v>5736.1819577068254</v>
      </c>
      <c r="N33" s="601">
        <f t="shared" ref="N33:S33" si="16">SUM(N22,N28,N31,N32)</f>
        <v>1144.4728245879628</v>
      </c>
      <c r="O33" s="602">
        <f t="shared" si="16"/>
        <v>1093.8309750869375</v>
      </c>
      <c r="P33" s="606">
        <f t="shared" si="16"/>
        <v>763.05312488811683</v>
      </c>
      <c r="Q33" s="602">
        <f t="shared" si="16"/>
        <v>799.61853851087722</v>
      </c>
      <c r="R33" s="602">
        <f t="shared" si="16"/>
        <v>929.29555443016466</v>
      </c>
      <c r="S33" s="603">
        <f t="shared" si="16"/>
        <v>626.36312196201743</v>
      </c>
      <c r="T33" s="550">
        <f>SUM(N33:S33)</f>
        <v>5356.6341394660767</v>
      </c>
      <c r="U33" s="550">
        <f t="shared" si="11"/>
        <v>11092.816097172901</v>
      </c>
    </row>
    <row r="34" spans="1:21" ht="21" customHeight="1" thickTop="1" thickBot="1">
      <c r="B34" s="754"/>
      <c r="C34" s="757"/>
      <c r="D34" s="784" t="s">
        <v>107</v>
      </c>
      <c r="E34" s="784"/>
      <c r="F34" s="785"/>
      <c r="G34" s="625">
        <f t="shared" ref="G34:S34" si="17">G7+G21+G33</f>
        <v>795.81884765481448</v>
      </c>
      <c r="H34" s="626">
        <f t="shared" si="17"/>
        <v>1022.8329668253516</v>
      </c>
      <c r="I34" s="627">
        <f t="shared" si="17"/>
        <v>911.46447886375131</v>
      </c>
      <c r="J34" s="626">
        <f t="shared" si="17"/>
        <v>1006.9196889693928</v>
      </c>
      <c r="K34" s="626">
        <f t="shared" si="17"/>
        <v>1005.1067749927962</v>
      </c>
      <c r="L34" s="628">
        <f t="shared" si="17"/>
        <v>1094.2110806449109</v>
      </c>
      <c r="M34" s="553">
        <f t="shared" si="10"/>
        <v>5836.3538379510173</v>
      </c>
      <c r="N34" s="625">
        <f t="shared" si="17"/>
        <v>1166.0643234024587</v>
      </c>
      <c r="O34" s="626">
        <f t="shared" si="17"/>
        <v>1114.8491147435363</v>
      </c>
      <c r="P34" s="627">
        <f t="shared" si="17"/>
        <v>779.66545206824253</v>
      </c>
      <c r="Q34" s="626">
        <f t="shared" si="17"/>
        <v>813.34143730317908</v>
      </c>
      <c r="R34" s="626">
        <f t="shared" si="17"/>
        <v>943.26741180418503</v>
      </c>
      <c r="S34" s="628">
        <f t="shared" si="17"/>
        <v>643.4356453083501</v>
      </c>
      <c r="T34" s="553">
        <f>SUM(N34:S34)</f>
        <v>5460.6233846299519</v>
      </c>
      <c r="U34" s="553">
        <f t="shared" si="11"/>
        <v>11296.977222580968</v>
      </c>
    </row>
    <row r="35" spans="1:21" ht="16.5" customHeight="1">
      <c r="A35" s="35">
        <v>22</v>
      </c>
      <c r="B35" s="754"/>
      <c r="C35" s="786" t="s">
        <v>52</v>
      </c>
      <c r="D35" s="788" t="s">
        <v>108</v>
      </c>
      <c r="E35" s="380" t="s">
        <v>109</v>
      </c>
      <c r="F35" s="381" t="s">
        <v>110</v>
      </c>
      <c r="G35" s="621"/>
      <c r="H35" s="622"/>
      <c r="I35" s="623"/>
      <c r="J35" s="621"/>
      <c r="K35" s="622"/>
      <c r="L35" s="624"/>
      <c r="M35" s="554"/>
      <c r="N35" s="150"/>
      <c r="O35" s="151"/>
      <c r="P35" s="154"/>
      <c r="Q35" s="150"/>
      <c r="R35" s="151"/>
      <c r="S35" s="152"/>
      <c r="T35" s="554"/>
      <c r="U35" s="554"/>
    </row>
    <row r="36" spans="1:21" ht="16.5" customHeight="1">
      <c r="A36" s="35">
        <v>23</v>
      </c>
      <c r="B36" s="754"/>
      <c r="C36" s="787"/>
      <c r="D36" s="789"/>
      <c r="E36" s="155"/>
      <c r="F36" s="382" t="s">
        <v>111</v>
      </c>
      <c r="G36" s="156"/>
      <c r="H36" s="157"/>
      <c r="I36" s="160"/>
      <c r="J36" s="156"/>
      <c r="K36" s="157"/>
      <c r="L36" s="158"/>
      <c r="M36" s="555"/>
      <c r="N36" s="156"/>
      <c r="O36" s="157"/>
      <c r="P36" s="160"/>
      <c r="Q36" s="156"/>
      <c r="R36" s="157"/>
      <c r="S36" s="158"/>
      <c r="T36" s="555"/>
      <c r="U36" s="555"/>
    </row>
    <row r="37" spans="1:21" ht="16.5" customHeight="1">
      <c r="A37" s="35">
        <v>24</v>
      </c>
      <c r="B37" s="754"/>
      <c r="C37" s="787"/>
      <c r="D37" s="789"/>
      <c r="E37" s="791" t="s">
        <v>117</v>
      </c>
      <c r="F37" s="382" t="s">
        <v>120</v>
      </c>
      <c r="G37" s="161"/>
      <c r="H37" s="161"/>
      <c r="I37" s="619"/>
      <c r="J37" s="161"/>
      <c r="K37" s="161"/>
      <c r="L37" s="161"/>
      <c r="M37" s="556">
        <f>SUM(G37:L37)</f>
        <v>0</v>
      </c>
      <c r="N37" s="161"/>
      <c r="O37" s="161"/>
      <c r="P37" s="608"/>
      <c r="Q37" s="161"/>
      <c r="R37" s="161"/>
      <c r="S37" s="161"/>
      <c r="T37" s="556">
        <f>SUM(N37:S37)</f>
        <v>0</v>
      </c>
      <c r="U37" s="556">
        <f>M37+T37</f>
        <v>0</v>
      </c>
    </row>
    <row r="38" spans="1:21" ht="16.5" customHeight="1">
      <c r="A38" s="35">
        <v>25</v>
      </c>
      <c r="B38" s="754"/>
      <c r="C38" s="787"/>
      <c r="D38" s="789"/>
      <c r="E38" s="791"/>
      <c r="F38" s="382" t="s">
        <v>112</v>
      </c>
      <c r="G38" s="599">
        <f>INDEX('[4]SJCPIL-R 17-204-01 (Forecat)'!$E$16:$S$16,1,MATCH(G3,'[4]SJCPIL-R 17-204-01 (Forecat)'!$E$4:$S$4,0))</f>
        <v>210.21170898074308</v>
      </c>
      <c r="H38" s="599">
        <f>INDEX('[4]SJCPIL-R 17-204-01 (Forecat)'!$E$16:$S$16,1,MATCH(H3,'[4]SJCPIL-R 17-204-01 (Forecat)'!$E$4:$S$4,0))</f>
        <v>204.15712079920596</v>
      </c>
      <c r="I38" s="599">
        <f>INDEX('[4]SJCPIL-R 17-204-01 (Forecat)'!$E$16:$S$16,1,MATCH(I3,'[4]SJCPIL-R 17-204-01 (Forecat)'!$E$4:$S$4,0))</f>
        <v>207.948198038551</v>
      </c>
      <c r="J38" s="599">
        <f>INDEX('[4]SJCPIL-R 17-204-01 (Forecat)'!$E$16:$S$16,1,MATCH(J3,'[4]SJCPIL-R 17-204-01 (Forecat)'!$E$4:$S$4,0))</f>
        <v>204.15712079920596</v>
      </c>
      <c r="K38" s="599">
        <f>INDEX('[4]SJCPIL-R 17-204-01 (Forecat)'!$E$16:$S$16,1,MATCH(K3,'[4]SJCPIL-R 17-204-01 (Forecat)'!$E$4:$S$4,0))</f>
        <v>207.948198038551</v>
      </c>
      <c r="L38" s="599">
        <f>INDEX('[4]SJCPIL-R 17-204-01 (Forecat)'!$E$16:$S$16,1,MATCH(L3,'[4]SJCPIL-R 17-204-01 (Forecat)'!$E$4:$S$4,0))</f>
        <v>207.3163518319935</v>
      </c>
      <c r="M38" s="556">
        <f>SUM(G38:L38)</f>
        <v>1241.7386984882503</v>
      </c>
      <c r="N38" s="599">
        <f>INDEX('[4]SJCPIL-R 17-204-01 (Forecat)'!$E$16:$S$16,1,MATCH(N3,'[4]SJCPIL-R 17-204-01 (Forecat)'!$E$4:$S$4,0))</f>
        <v>228.96113915224859</v>
      </c>
      <c r="O38" s="599">
        <f>INDEX('[4]SJCPIL-R 17-204-01 (Forecat)'!$E$16:$S$16,1,MATCH(O3,'[4]SJCPIL-R 17-204-01 (Forecat)'!$E$4:$S$4,0))</f>
        <v>233.78137366071695</v>
      </c>
      <c r="P38" s="599">
        <f>INDEX('[4]SJCPIL-R 17-204-01 (Forecat)'!$E$16:$S$16,1,MATCH(P3,'[4]SJCPIL-R 17-204-01 (Forecat)'!$E$4:$S$4,0))</f>
        <v>236.1914909149512</v>
      </c>
      <c r="Q38" s="599">
        <f>INDEX('[4]SJCPIL-R 17-204-01 (Forecat)'!$E$16:$S$16,1,MATCH(Q3,'[4]SJCPIL-R 17-204-01 (Forecat)'!$E$4:$S$4,0))</f>
        <v>219.04057228614681</v>
      </c>
      <c r="R38" s="599">
        <f>INDEX('[4]SJCPIL-R 17-204-01 (Forecat)'!$E$16:$S$16,1,MATCH(R3,'[4]SJCPIL-R 17-204-01 (Forecat)'!$E$4:$S$4,0))</f>
        <v>141.53388267660839</v>
      </c>
      <c r="S38" s="599">
        <f>INDEX('[4]SJCPIL-R 17-204-01 (Forecat)'!$E$16:$S$16,1,MATCH(S3,'[4]SJCPIL-R 17-204-01 (Forecat)'!$E$4:$S$4,0))</f>
        <v>161.05098381421266</v>
      </c>
      <c r="T38" s="556">
        <f>SUM(N38:S38)</f>
        <v>1220.5594425048846</v>
      </c>
      <c r="U38" s="556">
        <f>M38+T38</f>
        <v>2462.2981409931349</v>
      </c>
    </row>
    <row r="39" spans="1:21" ht="16.5" customHeight="1">
      <c r="A39" s="35">
        <v>26</v>
      </c>
      <c r="B39" s="754"/>
      <c r="C39" s="787"/>
      <c r="D39" s="789"/>
      <c r="E39" s="155"/>
      <c r="F39" s="382" t="s">
        <v>113</v>
      </c>
      <c r="G39" s="156"/>
      <c r="H39" s="157"/>
      <c r="I39" s="160"/>
      <c r="J39" s="156"/>
      <c r="K39" s="157"/>
      <c r="L39" s="158"/>
      <c r="M39" s="555"/>
      <c r="N39" s="156"/>
      <c r="O39" s="157"/>
      <c r="P39" s="160"/>
      <c r="Q39" s="156"/>
      <c r="R39" s="157"/>
      <c r="S39" s="158"/>
      <c r="T39" s="555"/>
      <c r="U39" s="555"/>
    </row>
    <row r="40" spans="1:21" ht="16.5" customHeight="1">
      <c r="A40" s="35">
        <v>27</v>
      </c>
      <c r="B40" s="754"/>
      <c r="C40" s="787"/>
      <c r="D40" s="789"/>
      <c r="E40" s="163"/>
      <c r="F40" s="383" t="s">
        <v>44</v>
      </c>
      <c r="G40" s="633"/>
      <c r="H40" s="165"/>
      <c r="I40" s="168"/>
      <c r="J40" s="164"/>
      <c r="K40" s="165"/>
      <c r="L40" s="634"/>
      <c r="M40" s="557">
        <f>SUM(G40:L40)</f>
        <v>0</v>
      </c>
      <c r="N40" s="633"/>
      <c r="O40" s="165"/>
      <c r="P40" s="168"/>
      <c r="Q40" s="164"/>
      <c r="R40" s="165"/>
      <c r="S40" s="634"/>
      <c r="T40" s="557">
        <f>SUM(N40:S40)</f>
        <v>0</v>
      </c>
      <c r="U40" s="557">
        <f>M40+T40</f>
        <v>0</v>
      </c>
    </row>
    <row r="41" spans="1:21" ht="18" customHeight="1" thickBot="1">
      <c r="B41" s="754"/>
      <c r="C41" s="787"/>
      <c r="D41" s="789"/>
      <c r="E41" s="169"/>
      <c r="F41" s="379" t="s">
        <v>114</v>
      </c>
      <c r="G41" s="629">
        <f t="shared" ref="G41:S41" si="18">SUM(G35:G40)</f>
        <v>210.21170898074308</v>
      </c>
      <c r="H41" s="630">
        <f t="shared" si="18"/>
        <v>204.15712079920596</v>
      </c>
      <c r="I41" s="631">
        <f t="shared" si="18"/>
        <v>207.948198038551</v>
      </c>
      <c r="J41" s="630">
        <f t="shared" si="18"/>
        <v>204.15712079920596</v>
      </c>
      <c r="K41" s="630">
        <f t="shared" si="18"/>
        <v>207.948198038551</v>
      </c>
      <c r="L41" s="632">
        <f t="shared" si="18"/>
        <v>207.3163518319935</v>
      </c>
      <c r="M41" s="558">
        <f>SUM(G41:L41)</f>
        <v>1241.7386984882503</v>
      </c>
      <c r="N41" s="629">
        <f t="shared" si="18"/>
        <v>228.96113915224859</v>
      </c>
      <c r="O41" s="630">
        <f t="shared" si="18"/>
        <v>233.78137366071695</v>
      </c>
      <c r="P41" s="631">
        <f t="shared" si="18"/>
        <v>236.1914909149512</v>
      </c>
      <c r="Q41" s="630">
        <f t="shared" si="18"/>
        <v>219.04057228614681</v>
      </c>
      <c r="R41" s="630">
        <f t="shared" si="18"/>
        <v>141.53388267660839</v>
      </c>
      <c r="S41" s="632">
        <f t="shared" si="18"/>
        <v>161.05098381421266</v>
      </c>
      <c r="T41" s="558">
        <f>SUM(N41:S41)</f>
        <v>1220.5594425048846</v>
      </c>
      <c r="U41" s="558">
        <f>M41+T41</f>
        <v>2462.2981409931349</v>
      </c>
    </row>
    <row r="42" spans="1:21" ht="16.5" hidden="1" customHeight="1">
      <c r="A42" s="35">
        <v>29</v>
      </c>
      <c r="B42" s="754"/>
      <c r="C42" s="787"/>
      <c r="D42" s="789"/>
      <c r="E42" s="384" t="s">
        <v>121</v>
      </c>
      <c r="F42" s="385"/>
      <c r="G42" s="172"/>
      <c r="H42" s="173"/>
      <c r="I42" s="177"/>
      <c r="J42" s="172"/>
      <c r="K42" s="173"/>
      <c r="L42" s="174"/>
      <c r="M42" s="559"/>
      <c r="N42" s="172"/>
      <c r="O42" s="173"/>
      <c r="P42" s="177"/>
      <c r="Q42" s="172"/>
      <c r="R42" s="173"/>
      <c r="S42" s="174"/>
      <c r="T42" s="176"/>
      <c r="U42" s="178"/>
    </row>
    <row r="43" spans="1:21" ht="16.5" hidden="1" customHeight="1">
      <c r="A43" s="35">
        <v>30</v>
      </c>
      <c r="B43" s="754"/>
      <c r="C43" s="787"/>
      <c r="D43" s="789"/>
      <c r="E43" s="155" t="s">
        <v>122</v>
      </c>
      <c r="F43" s="386" t="s">
        <v>123</v>
      </c>
      <c r="G43" s="179"/>
      <c r="H43" s="180"/>
      <c r="I43" s="183"/>
      <c r="J43" s="179"/>
      <c r="K43" s="180"/>
      <c r="L43" s="181"/>
      <c r="M43" s="560"/>
      <c r="N43" s="179"/>
      <c r="O43" s="180"/>
      <c r="P43" s="183"/>
      <c r="Q43" s="179"/>
      <c r="R43" s="180"/>
      <c r="S43" s="181"/>
      <c r="T43" s="182"/>
      <c r="U43" s="184"/>
    </row>
    <row r="44" spans="1:21" ht="16.5" hidden="1" customHeight="1">
      <c r="A44" s="35">
        <v>31</v>
      </c>
      <c r="B44" s="754"/>
      <c r="C44" s="787"/>
      <c r="D44" s="789"/>
      <c r="E44" s="155" t="s">
        <v>124</v>
      </c>
      <c r="F44" s="382" t="s">
        <v>125</v>
      </c>
      <c r="G44" s="185"/>
      <c r="H44" s="186"/>
      <c r="I44" s="188"/>
      <c r="J44" s="185"/>
      <c r="K44" s="186"/>
      <c r="L44" s="187"/>
      <c r="M44" s="560"/>
      <c r="N44" s="185"/>
      <c r="O44" s="186"/>
      <c r="P44" s="188"/>
      <c r="Q44" s="185"/>
      <c r="R44" s="186"/>
      <c r="S44" s="187"/>
      <c r="T44" s="182"/>
      <c r="U44" s="182"/>
    </row>
    <row r="45" spans="1:21" ht="16.5" hidden="1" customHeight="1">
      <c r="A45" s="35">
        <v>32</v>
      </c>
      <c r="B45" s="754"/>
      <c r="C45" s="787"/>
      <c r="D45" s="789"/>
      <c r="E45" s="155"/>
      <c r="F45" s="387" t="s">
        <v>126</v>
      </c>
      <c r="G45" s="179"/>
      <c r="H45" s="180"/>
      <c r="I45" s="183"/>
      <c r="J45" s="179"/>
      <c r="K45" s="180"/>
      <c r="L45" s="181"/>
      <c r="M45" s="561"/>
      <c r="N45" s="179"/>
      <c r="O45" s="180"/>
      <c r="P45" s="183"/>
      <c r="Q45" s="179"/>
      <c r="R45" s="180"/>
      <c r="S45" s="181"/>
      <c r="T45" s="189"/>
      <c r="U45" s="189"/>
    </row>
    <row r="46" spans="1:21" ht="16.5" hidden="1" customHeight="1">
      <c r="B46" s="754"/>
      <c r="C46" s="787"/>
      <c r="D46" s="789"/>
      <c r="E46" s="155"/>
      <c r="F46" s="379" t="s">
        <v>127</v>
      </c>
      <c r="G46" s="172"/>
      <c r="H46" s="173"/>
      <c r="I46" s="177"/>
      <c r="J46" s="172"/>
      <c r="K46" s="173"/>
      <c r="L46" s="174"/>
      <c r="M46" s="559"/>
      <c r="N46" s="172"/>
      <c r="O46" s="173"/>
      <c r="P46" s="177"/>
      <c r="Q46" s="172"/>
      <c r="R46" s="173"/>
      <c r="S46" s="174"/>
      <c r="T46" s="176"/>
      <c r="U46" s="176"/>
    </row>
    <row r="47" spans="1:21" ht="18.75" hidden="1" customHeight="1" thickBot="1">
      <c r="B47" s="754"/>
      <c r="C47" s="787"/>
      <c r="D47" s="790"/>
      <c r="E47" s="774" t="s">
        <v>128</v>
      </c>
      <c r="F47" s="775"/>
      <c r="G47" s="190"/>
      <c r="H47" s="191"/>
      <c r="I47" s="194"/>
      <c r="J47" s="190"/>
      <c r="K47" s="191"/>
      <c r="L47" s="192"/>
      <c r="M47" s="562"/>
      <c r="N47" s="190"/>
      <c r="O47" s="191"/>
      <c r="P47" s="194"/>
      <c r="Q47" s="190"/>
      <c r="R47" s="191"/>
      <c r="S47" s="192"/>
      <c r="T47" s="193"/>
      <c r="U47" s="193"/>
    </row>
    <row r="48" spans="1:21" ht="16.5" hidden="1" customHeight="1" thickTop="1">
      <c r="A48" s="35">
        <v>33</v>
      </c>
      <c r="B48" s="195"/>
      <c r="C48" s="787"/>
      <c r="D48" s="792" t="s">
        <v>129</v>
      </c>
      <c r="E48" s="793"/>
      <c r="F48" s="388" t="s">
        <v>130</v>
      </c>
      <c r="G48" s="196"/>
      <c r="H48" s="197"/>
      <c r="I48" s="199"/>
      <c r="J48" s="196"/>
      <c r="K48" s="197"/>
      <c r="L48" s="198"/>
      <c r="M48" s="559"/>
      <c r="N48" s="196"/>
      <c r="O48" s="197"/>
      <c r="P48" s="199"/>
      <c r="Q48" s="196"/>
      <c r="R48" s="197"/>
      <c r="S48" s="198"/>
      <c r="T48" s="176"/>
      <c r="U48" s="176"/>
    </row>
    <row r="49" spans="1:21" ht="16.5" hidden="1" customHeight="1">
      <c r="A49" s="35">
        <v>34</v>
      </c>
      <c r="B49" s="195"/>
      <c r="C49" s="787"/>
      <c r="D49" s="794"/>
      <c r="E49" s="795"/>
      <c r="F49" s="389" t="s">
        <v>131</v>
      </c>
      <c r="G49" s="196"/>
      <c r="H49" s="197"/>
      <c r="I49" s="199"/>
      <c r="J49" s="196"/>
      <c r="K49" s="197"/>
      <c r="L49" s="198"/>
      <c r="M49" s="559"/>
      <c r="N49" s="196"/>
      <c r="O49" s="197"/>
      <c r="P49" s="199"/>
      <c r="Q49" s="196"/>
      <c r="R49" s="197"/>
      <c r="S49" s="198"/>
      <c r="T49" s="176"/>
      <c r="U49" s="176"/>
    </row>
    <row r="50" spans="1:21" ht="16.5" hidden="1" customHeight="1">
      <c r="B50" s="195"/>
      <c r="C50" s="787"/>
      <c r="D50" s="390"/>
      <c r="E50" s="391"/>
      <c r="F50" s="379" t="s">
        <v>132</v>
      </c>
      <c r="G50" s="196"/>
      <c r="H50" s="197"/>
      <c r="I50" s="199"/>
      <c r="J50" s="196"/>
      <c r="K50" s="197"/>
      <c r="L50" s="198"/>
      <c r="M50" s="559"/>
      <c r="N50" s="196"/>
      <c r="O50" s="197"/>
      <c r="P50" s="199"/>
      <c r="Q50" s="196"/>
      <c r="R50" s="197"/>
      <c r="S50" s="198"/>
      <c r="T50" s="176"/>
      <c r="U50" s="176"/>
    </row>
    <row r="51" spans="1:21" ht="16.5" hidden="1" customHeight="1">
      <c r="A51" s="35">
        <v>34</v>
      </c>
      <c r="B51" s="195"/>
      <c r="C51" s="787"/>
      <c r="D51" s="200" t="s">
        <v>133</v>
      </c>
      <c r="E51" s="200"/>
      <c r="F51" s="130"/>
      <c r="G51" s="201"/>
      <c r="H51" s="202"/>
      <c r="I51" s="205"/>
      <c r="J51" s="201"/>
      <c r="K51" s="202"/>
      <c r="L51" s="203"/>
      <c r="M51" s="563"/>
      <c r="N51" s="201"/>
      <c r="O51" s="202"/>
      <c r="P51" s="205"/>
      <c r="Q51" s="201"/>
      <c r="R51" s="202"/>
      <c r="S51" s="203"/>
      <c r="T51" s="204"/>
      <c r="U51" s="204"/>
    </row>
    <row r="52" spans="1:21" ht="18.75" hidden="1" customHeight="1" thickBot="1">
      <c r="B52" s="195"/>
      <c r="C52" s="757"/>
      <c r="D52" s="776" t="s">
        <v>134</v>
      </c>
      <c r="E52" s="776"/>
      <c r="F52" s="777"/>
      <c r="G52" s="206"/>
      <c r="H52" s="207"/>
      <c r="I52" s="210"/>
      <c r="J52" s="206"/>
      <c r="K52" s="207"/>
      <c r="L52" s="208"/>
      <c r="M52" s="564"/>
      <c r="N52" s="206"/>
      <c r="O52" s="207"/>
      <c r="P52" s="210"/>
      <c r="Q52" s="206"/>
      <c r="R52" s="207"/>
      <c r="S52" s="208"/>
      <c r="T52" s="209">
        <f>SUM(T41:T41)</f>
        <v>1220.5594425048846</v>
      </c>
      <c r="U52" s="209">
        <f>SUM(U41:U41)</f>
        <v>2462.2981409931349</v>
      </c>
    </row>
    <row r="53" spans="1:21" ht="18.75" hidden="1" customHeight="1">
      <c r="A53" s="35">
        <v>35</v>
      </c>
      <c r="B53" s="195"/>
      <c r="C53" s="786" t="s">
        <v>135</v>
      </c>
      <c r="D53" s="364" t="s">
        <v>136</v>
      </c>
      <c r="E53" s="392"/>
      <c r="F53" s="57"/>
      <c r="G53" s="211"/>
      <c r="H53" s="212"/>
      <c r="I53" s="216"/>
      <c r="J53" s="215"/>
      <c r="K53" s="212"/>
      <c r="L53" s="213"/>
      <c r="M53" s="565"/>
      <c r="N53" s="215"/>
      <c r="O53" s="212"/>
      <c r="P53" s="216"/>
      <c r="Q53" s="215"/>
      <c r="R53" s="212"/>
      <c r="S53" s="213"/>
      <c r="T53" s="214">
        <f>SUM(N53:S53)</f>
        <v>0</v>
      </c>
      <c r="U53" s="214">
        <f>M53+T53</f>
        <v>0</v>
      </c>
    </row>
    <row r="54" spans="1:21" ht="18.75" hidden="1" customHeight="1">
      <c r="A54" s="35">
        <v>36</v>
      </c>
      <c r="B54" s="195"/>
      <c r="C54" s="787"/>
      <c r="D54" s="365" t="s">
        <v>137</v>
      </c>
      <c r="E54" s="393"/>
      <c r="F54" s="60"/>
      <c r="G54" s="217"/>
      <c r="H54" s="218"/>
      <c r="I54" s="222"/>
      <c r="J54" s="221"/>
      <c r="K54" s="218"/>
      <c r="L54" s="219"/>
      <c r="M54" s="566"/>
      <c r="N54" s="221"/>
      <c r="O54" s="218"/>
      <c r="P54" s="222"/>
      <c r="Q54" s="221"/>
      <c r="R54" s="218"/>
      <c r="S54" s="219"/>
      <c r="T54" s="220">
        <f>SUM(N54:S54)</f>
        <v>0</v>
      </c>
      <c r="U54" s="220">
        <f>M54+T54</f>
        <v>0</v>
      </c>
    </row>
    <row r="55" spans="1:21" ht="18.75" hidden="1" customHeight="1" thickBot="1">
      <c r="B55" s="195"/>
      <c r="C55" s="757"/>
      <c r="D55" s="346"/>
      <c r="E55" s="346"/>
      <c r="F55" s="394" t="s">
        <v>138</v>
      </c>
      <c r="G55" s="223"/>
      <c r="H55" s="224"/>
      <c r="I55" s="227"/>
      <c r="J55" s="223"/>
      <c r="K55" s="224"/>
      <c r="L55" s="225"/>
      <c r="M55" s="567"/>
      <c r="N55" s="223"/>
      <c r="O55" s="224"/>
      <c r="P55" s="227"/>
      <c r="Q55" s="223"/>
      <c r="R55" s="224"/>
      <c r="S55" s="225"/>
      <c r="T55" s="226">
        <f>SUM(T53:T54)</f>
        <v>0</v>
      </c>
      <c r="U55" s="226">
        <f>SUM(U53:U54)</f>
        <v>0</v>
      </c>
    </row>
    <row r="56" spans="1:21" ht="18.75" hidden="1" customHeight="1" thickBot="1">
      <c r="B56" s="228"/>
      <c r="C56" s="766" t="s">
        <v>139</v>
      </c>
      <c r="D56" s="766"/>
      <c r="E56" s="766"/>
      <c r="F56" s="767"/>
      <c r="G56" s="229"/>
      <c r="H56" s="230"/>
      <c r="I56" s="234"/>
      <c r="J56" s="233"/>
      <c r="K56" s="230"/>
      <c r="L56" s="231"/>
      <c r="M56" s="568"/>
      <c r="N56" s="233"/>
      <c r="O56" s="230"/>
      <c r="P56" s="234"/>
      <c r="Q56" s="233"/>
      <c r="R56" s="230"/>
      <c r="S56" s="231"/>
      <c r="T56" s="232">
        <f>T34+T52+T55</f>
        <v>6681.1828271348368</v>
      </c>
      <c r="U56" s="232">
        <f>U34+U52+U55</f>
        <v>13759.275363574103</v>
      </c>
    </row>
    <row r="57" spans="1:21" ht="21" customHeight="1" thickBot="1">
      <c r="B57" s="235"/>
      <c r="C57" s="778" t="s">
        <v>115</v>
      </c>
      <c r="D57" s="779"/>
      <c r="E57" s="779"/>
      <c r="F57" s="780"/>
      <c r="G57" s="482">
        <f>G6</f>
        <v>2124</v>
      </c>
      <c r="H57" s="483">
        <f t="shared" ref="H57:L57" si="19">H6</f>
        <v>2346</v>
      </c>
      <c r="I57" s="620">
        <f t="shared" si="19"/>
        <v>1876</v>
      </c>
      <c r="J57" s="483">
        <f t="shared" si="19"/>
        <v>2177</v>
      </c>
      <c r="K57" s="483">
        <f t="shared" si="19"/>
        <v>2177</v>
      </c>
      <c r="L57" s="483">
        <f t="shared" si="19"/>
        <v>2578</v>
      </c>
      <c r="M57" s="569">
        <f>SUM(G57:L57)</f>
        <v>13278</v>
      </c>
      <c r="N57" s="483">
        <f>N6</f>
        <v>2862</v>
      </c>
      <c r="O57" s="483">
        <f t="shared" ref="O57:S57" si="20">O6</f>
        <v>2786</v>
      </c>
      <c r="P57" s="609">
        <f t="shared" si="20"/>
        <v>2202</v>
      </c>
      <c r="Q57" s="483">
        <f t="shared" si="20"/>
        <v>1819</v>
      </c>
      <c r="R57" s="483">
        <f t="shared" si="20"/>
        <v>1852</v>
      </c>
      <c r="S57" s="484">
        <f t="shared" si="20"/>
        <v>2263</v>
      </c>
      <c r="T57" s="236">
        <f>SUM(N57:S57)</f>
        <v>13784</v>
      </c>
      <c r="U57" s="236">
        <f>M57+T57</f>
        <v>27062</v>
      </c>
    </row>
    <row r="58" spans="1:21" ht="9" customHeight="1"/>
    <row r="59" spans="1:21" ht="19.5" customHeight="1">
      <c r="E59" s="781" t="s">
        <v>116</v>
      </c>
      <c r="F59" s="782"/>
      <c r="G59" s="783"/>
      <c r="U59" s="529"/>
    </row>
    <row r="60" spans="1:21" ht="7.5" customHeight="1"/>
    <row r="61" spans="1:21" ht="19.5" customHeight="1">
      <c r="G61" s="36" t="s">
        <v>199</v>
      </c>
      <c r="H61" s="36" t="s">
        <v>200</v>
      </c>
      <c r="I61" s="302" t="s">
        <v>201</v>
      </c>
      <c r="J61" s="302" t="s">
        <v>202</v>
      </c>
      <c r="K61" s="36" t="s">
        <v>203</v>
      </c>
      <c r="L61" s="752" t="s">
        <v>204</v>
      </c>
      <c r="N61" s="36" t="s">
        <v>205</v>
      </c>
      <c r="O61" s="752" t="s">
        <v>206</v>
      </c>
      <c r="P61" s="752" t="s">
        <v>207</v>
      </c>
      <c r="Q61" s="36" t="s">
        <v>208</v>
      </c>
      <c r="R61" s="36" t="s">
        <v>209</v>
      </c>
      <c r="S61" s="36" t="s">
        <v>210</v>
      </c>
      <c r="U61" s="528"/>
    </row>
    <row r="62" spans="1:21" ht="19.5" customHeight="1">
      <c r="F62" s="474"/>
      <c r="G62" s="533"/>
      <c r="H62" s="533"/>
      <c r="I62" s="533"/>
      <c r="J62" s="533"/>
      <c r="K62" s="533"/>
      <c r="L62" s="533"/>
      <c r="M62" s="534"/>
      <c r="N62" s="533"/>
      <c r="O62" s="533"/>
      <c r="P62" s="533"/>
      <c r="Q62" s="533"/>
      <c r="R62" s="533"/>
      <c r="S62" s="533"/>
    </row>
    <row r="63" spans="1:21">
      <c r="F63" s="532"/>
      <c r="G63" s="533"/>
      <c r="H63" s="533"/>
      <c r="I63" s="533"/>
      <c r="J63" s="533"/>
      <c r="K63" s="533"/>
      <c r="L63" s="533"/>
      <c r="M63" s="534"/>
      <c r="N63" s="533"/>
      <c r="O63" s="533"/>
      <c r="P63" s="533"/>
      <c r="Q63" s="533"/>
      <c r="R63" s="533"/>
      <c r="S63" s="533"/>
      <c r="T63" s="535"/>
      <c r="U63" s="535"/>
    </row>
    <row r="64" spans="1:21">
      <c r="F64" s="532"/>
      <c r="G64" s="536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5"/>
      <c r="U64" s="535"/>
    </row>
    <row r="65" spans="6:21">
      <c r="F65" s="532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</row>
    <row r="66" spans="6:21">
      <c r="F66" s="532"/>
      <c r="G66" s="537"/>
      <c r="H66" s="535"/>
      <c r="I66" s="535"/>
      <c r="J66" s="535"/>
      <c r="K66" s="535"/>
      <c r="L66" s="535"/>
      <c r="M66" s="535"/>
      <c r="N66" s="535"/>
      <c r="O66" s="535"/>
      <c r="P66" s="535"/>
      <c r="Q66" s="535"/>
      <c r="R66" s="535"/>
      <c r="S66" s="535"/>
      <c r="T66" s="535"/>
      <c r="U66" s="535"/>
    </row>
    <row r="67" spans="6:21">
      <c r="F67" s="532"/>
      <c r="G67" s="537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</row>
    <row r="68" spans="6:21">
      <c r="F68" s="532"/>
      <c r="G68" s="538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</row>
    <row r="69" spans="6:21">
      <c r="F69" s="532"/>
      <c r="G69" s="539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</row>
    <row r="70" spans="6:21">
      <c r="F70" s="474"/>
      <c r="G70" s="478"/>
      <c r="H70" s="478"/>
      <c r="I70" s="478"/>
      <c r="J70" s="478"/>
      <c r="K70" s="478"/>
      <c r="L70" s="478"/>
      <c r="M70" s="478"/>
      <c r="N70" s="478"/>
      <c r="O70" s="478"/>
      <c r="P70" s="478"/>
      <c r="Q70" s="478"/>
      <c r="R70" s="478"/>
      <c r="S70" s="478"/>
    </row>
    <row r="71" spans="6:21">
      <c r="F71" s="474"/>
      <c r="G71" s="478"/>
      <c r="H71" s="478"/>
      <c r="I71" s="478"/>
      <c r="J71" s="478"/>
      <c r="K71" s="478"/>
      <c r="L71" s="478"/>
      <c r="M71" s="478"/>
      <c r="N71" s="478"/>
      <c r="O71" s="478"/>
      <c r="P71" s="478"/>
      <c r="Q71" s="478"/>
      <c r="R71" s="478"/>
      <c r="S71" s="47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Y64"/>
  <sheetViews>
    <sheetView topLeftCell="I1" zoomScaleNormal="100" zoomScaleSheetLayoutView="75" workbookViewId="0">
      <selection activeCell="L57" sqref="G57:L57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171</v>
      </c>
      <c r="G2" s="45"/>
      <c r="H2" s="45" t="s">
        <v>4</v>
      </c>
      <c r="I2" s="45"/>
      <c r="J2" s="46"/>
      <c r="K2" s="45" t="s">
        <v>5</v>
      </c>
      <c r="L2" s="45"/>
      <c r="M2" s="764" t="s">
        <v>6</v>
      </c>
      <c r="N2" s="45"/>
      <c r="O2" s="45" t="s">
        <v>7</v>
      </c>
      <c r="P2" s="47"/>
      <c r="Q2" s="45"/>
      <c r="R2" s="45" t="s">
        <v>8</v>
      </c>
      <c r="S2" s="45"/>
      <c r="T2" s="764" t="s">
        <v>9</v>
      </c>
      <c r="U2" s="764" t="s">
        <v>211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363" t="s">
        <v>72</v>
      </c>
      <c r="G3" s="747">
        <v>44652</v>
      </c>
      <c r="H3" s="747">
        <v>44682</v>
      </c>
      <c r="I3" s="747">
        <v>44713</v>
      </c>
      <c r="J3" s="747">
        <v>44743</v>
      </c>
      <c r="K3" s="747">
        <v>44774</v>
      </c>
      <c r="L3" s="747">
        <v>44805</v>
      </c>
      <c r="M3" s="765"/>
      <c r="N3" s="747">
        <v>44835</v>
      </c>
      <c r="O3" s="747">
        <v>44866</v>
      </c>
      <c r="P3" s="747">
        <v>44896</v>
      </c>
      <c r="Q3" s="747">
        <v>44927</v>
      </c>
      <c r="R3" s="747">
        <v>44958</v>
      </c>
      <c r="S3" s="747">
        <v>44986</v>
      </c>
      <c r="T3" s="765"/>
      <c r="U3" s="765"/>
      <c r="W3" s="48" t="s">
        <v>177</v>
      </c>
      <c r="X3" s="48" t="s">
        <v>178</v>
      </c>
    </row>
    <row r="4" spans="1:25" s="48" customFormat="1" ht="18.75" customHeight="1">
      <c r="A4" s="39"/>
      <c r="B4" s="56"/>
      <c r="C4" s="768" t="s">
        <v>34</v>
      </c>
      <c r="D4" s="769"/>
      <c r="E4" s="364" t="s">
        <v>35</v>
      </c>
      <c r="F4" s="57"/>
      <c r="G4" s="58"/>
      <c r="H4" s="58"/>
      <c r="I4" s="678"/>
      <c r="J4" s="678"/>
      <c r="K4" s="678"/>
      <c r="L4" s="678"/>
      <c r="M4" s="59">
        <f>SUM(G4:L4)</f>
        <v>0</v>
      </c>
      <c r="N4" s="678"/>
      <c r="O4" s="582"/>
      <c r="P4" s="582"/>
      <c r="Q4" s="58"/>
      <c r="R4" s="678"/>
      <c r="S4" s="748"/>
      <c r="T4" s="59">
        <f>SUM(N4:S4)</f>
        <v>0</v>
      </c>
      <c r="U4" s="59">
        <f>M4+T4</f>
        <v>0</v>
      </c>
      <c r="W4" s="527">
        <f>SUM('Detail Table(Forecast)'!G4:L4,'Detail Table(Forecast)'!N4:O4)</f>
        <v>17148</v>
      </c>
      <c r="X4" s="527">
        <f>U4</f>
        <v>0</v>
      </c>
      <c r="Y4" s="527">
        <f>'Detail Table(Forecast)'!U4-'Detail Table(Input this !)'!X4</f>
        <v>24467</v>
      </c>
    </row>
    <row r="5" spans="1:25" s="48" customFormat="1" ht="18.75" customHeight="1">
      <c r="A5" s="39"/>
      <c r="B5" s="56"/>
      <c r="C5" s="770"/>
      <c r="D5" s="771"/>
      <c r="E5" s="365" t="s">
        <v>36</v>
      </c>
      <c r="F5" s="60"/>
      <c r="G5" s="61"/>
      <c r="H5" s="61"/>
      <c r="I5" s="679"/>
      <c r="J5" s="679"/>
      <c r="K5" s="679"/>
      <c r="L5" s="679"/>
      <c r="M5" s="62">
        <f>SUM(G5:L5)</f>
        <v>0</v>
      </c>
      <c r="N5" s="679"/>
      <c r="O5" s="583"/>
      <c r="P5" s="583"/>
      <c r="Q5" s="61"/>
      <c r="R5" s="679"/>
      <c r="S5" s="749"/>
      <c r="T5" s="62">
        <f>SUM(N5:S5)</f>
        <v>0</v>
      </c>
      <c r="U5" s="62">
        <f>M5+T5</f>
        <v>0</v>
      </c>
      <c r="W5" s="527">
        <f>SUM('Detail Table(Forecast)'!G5:L5,'Detail Table(Forecast)'!N5:O5)</f>
        <v>1778</v>
      </c>
      <c r="X5" s="527">
        <f>U5</f>
        <v>0</v>
      </c>
      <c r="Y5" s="527">
        <f>'Detail Table(Forecast)'!U5-'Detail Table(Input this !)'!X5</f>
        <v>2595</v>
      </c>
    </row>
    <row r="6" spans="1:25" s="48" customFormat="1" ht="21" customHeight="1" thickBot="1">
      <c r="A6" s="39"/>
      <c r="B6" s="56"/>
      <c r="C6" s="772"/>
      <c r="D6" s="773"/>
      <c r="E6" s="63"/>
      <c r="F6" s="366"/>
      <c r="G6" s="65">
        <f t="shared" ref="G6:L6" si="0">SUM(G4:G5)</f>
        <v>0</v>
      </c>
      <c r="H6" s="65">
        <f t="shared" si="0"/>
        <v>0</v>
      </c>
      <c r="I6" s="65">
        <f t="shared" si="0"/>
        <v>0</v>
      </c>
      <c r="J6" s="65">
        <f t="shared" si="0"/>
        <v>0</v>
      </c>
      <c r="K6" s="65">
        <f t="shared" si="0"/>
        <v>0</v>
      </c>
      <c r="L6" s="65">
        <f t="shared" si="0"/>
        <v>0</v>
      </c>
      <c r="M6" s="67">
        <f>SUM(G6:L6)</f>
        <v>0</v>
      </c>
      <c r="N6" s="65">
        <f t="shared" ref="N6:S6" si="1">SUM(N4:N5)</f>
        <v>0</v>
      </c>
      <c r="O6" s="65">
        <f t="shared" si="1"/>
        <v>0</v>
      </c>
      <c r="P6" s="68">
        <f t="shared" si="1"/>
        <v>0</v>
      </c>
      <c r="Q6" s="64">
        <f t="shared" si="1"/>
        <v>0</v>
      </c>
      <c r="R6" s="65">
        <f t="shared" si="1"/>
        <v>0</v>
      </c>
      <c r="S6" s="66">
        <f t="shared" si="1"/>
        <v>0</v>
      </c>
      <c r="T6" s="67">
        <f>SUM(N6:S6)</f>
        <v>0</v>
      </c>
      <c r="U6" s="67">
        <f>M6+T6</f>
        <v>0</v>
      </c>
      <c r="W6" s="527">
        <f>SUM(W4:W5)</f>
        <v>18926</v>
      </c>
      <c r="X6" s="527">
        <f>SUM(X4:X5)</f>
        <v>0</v>
      </c>
    </row>
    <row r="7" spans="1:25" ht="21" customHeight="1" thickBot="1">
      <c r="A7" s="69">
        <v>1</v>
      </c>
      <c r="B7" s="754" t="s">
        <v>71</v>
      </c>
      <c r="C7" s="755" t="s">
        <v>156</v>
      </c>
      <c r="D7" s="367" t="s">
        <v>73</v>
      </c>
      <c r="E7" s="368"/>
      <c r="F7" s="70"/>
      <c r="G7" s="680"/>
      <c r="H7" s="681"/>
      <c r="I7" s="682"/>
      <c r="J7" s="683"/>
      <c r="K7" s="72"/>
      <c r="L7" s="73"/>
      <c r="M7" s="540">
        <f>SUM(G7:L7)</f>
        <v>0</v>
      </c>
      <c r="N7" s="71"/>
      <c r="O7" s="72"/>
      <c r="P7" s="75"/>
      <c r="Q7" s="71"/>
      <c r="R7" s="72"/>
      <c r="S7" s="73"/>
      <c r="T7" s="540">
        <f>SUM(N7:S7)</f>
        <v>0</v>
      </c>
      <c r="U7" s="540">
        <f>M7+T7</f>
        <v>0</v>
      </c>
      <c r="W7" s="528">
        <f>'Detail Table(Forecast)'!U6-'Detail Table(Input this !)'!W6</f>
        <v>8136</v>
      </c>
      <c r="X7" s="528">
        <f>'Detail Table(Forecast)'!U6-'Detail Table(Input this !)'!X6</f>
        <v>27062</v>
      </c>
    </row>
    <row r="8" spans="1:25" ht="16.5" customHeight="1" thickTop="1">
      <c r="A8" s="69">
        <v>2</v>
      </c>
      <c r="B8" s="754"/>
      <c r="C8" s="756"/>
      <c r="D8" s="758" t="s">
        <v>74</v>
      </c>
      <c r="E8" s="113" t="s">
        <v>75</v>
      </c>
      <c r="F8" s="369" t="s">
        <v>78</v>
      </c>
      <c r="G8" s="684"/>
      <c r="H8" s="685"/>
      <c r="I8" s="686"/>
      <c r="J8" s="687"/>
      <c r="K8" s="77"/>
      <c r="L8" s="78"/>
      <c r="M8" s="541"/>
      <c r="N8" s="80"/>
      <c r="O8" s="81"/>
      <c r="P8" s="82"/>
      <c r="Q8" s="80"/>
      <c r="R8" s="81"/>
      <c r="S8" s="83"/>
      <c r="T8" s="541"/>
      <c r="U8" s="541"/>
    </row>
    <row r="9" spans="1:25" ht="16.5" customHeight="1">
      <c r="A9" s="69">
        <v>3</v>
      </c>
      <c r="B9" s="754"/>
      <c r="C9" s="756"/>
      <c r="D9" s="758"/>
      <c r="E9" s="113" t="s">
        <v>76</v>
      </c>
      <c r="F9" s="370" t="s">
        <v>79</v>
      </c>
      <c r="G9" s="688"/>
      <c r="H9" s="689"/>
      <c r="I9" s="690"/>
      <c r="J9" s="691"/>
      <c r="K9" s="85"/>
      <c r="L9" s="86"/>
      <c r="M9" s="542"/>
      <c r="N9" s="88"/>
      <c r="O9" s="89"/>
      <c r="P9" s="90"/>
      <c r="Q9" s="88"/>
      <c r="R9" s="89"/>
      <c r="S9" s="91"/>
      <c r="T9" s="542"/>
      <c r="U9" s="542"/>
    </row>
    <row r="10" spans="1:25" ht="16.5" customHeight="1">
      <c r="A10" s="69">
        <v>4</v>
      </c>
      <c r="B10" s="754"/>
      <c r="C10" s="756"/>
      <c r="D10" s="758"/>
      <c r="E10" s="92" t="s">
        <v>77</v>
      </c>
      <c r="F10" s="371" t="s">
        <v>80</v>
      </c>
      <c r="G10" s="599">
        <f>INDEX('[5]SJCPIL-R 16-120-04'!$A$5:$M$10,MATCH("ALCALINA",'[5]SJCPIL-R 16-120-04'!$A$5:$A$10,0),MATCH(G3,'[5]SJCPIL-R 16-120-04'!$A$5:$M$5,0))</f>
        <v>0</v>
      </c>
      <c r="H10" s="599">
        <f>INDEX('[5]SJCPIL-R 16-120-04'!$A$5:$M$10,MATCH("ALCALINA",'[5]SJCPIL-R 16-120-04'!$A$5:$A$10,0),MATCH(H3,'[5]SJCPIL-R 16-120-04'!$A$5:$M$5,0))</f>
        <v>0</v>
      </c>
      <c r="I10" s="599">
        <f>INDEX('[5]SJCPIL-R 16-120-04'!$A$5:$M$10,MATCH("ALCALINA",'[5]SJCPIL-R 16-120-04'!$A$5:$A$10,0),MATCH(I3,'[5]SJCPIL-R 16-120-04'!$A$5:$M$5,0))</f>
        <v>0</v>
      </c>
      <c r="J10" s="599">
        <f>INDEX('[5]SJCPIL-R 16-120-04'!$A$5:$M$10,MATCH("ALCALINA",'[5]SJCPIL-R 16-120-04'!$A$5:$A$10,0),MATCH(J3,'[5]SJCPIL-R 16-120-04'!$A$5:$M$5,0))</f>
        <v>0</v>
      </c>
      <c r="K10" s="599">
        <f>INDEX('[5]SJCPIL-R 16-120-04'!$A$5:$M$10,MATCH("ALCALINA",'[5]SJCPIL-R 16-120-04'!$A$5:$A$10,0),MATCH(K3,'[5]SJCPIL-R 16-120-04'!$A$5:$M$5,0))</f>
        <v>0</v>
      </c>
      <c r="L10" s="599">
        <f>INDEX('[5]SJCPIL-R 16-120-04'!$A$5:$M$10,MATCH("ALCALINA",'[5]SJCPIL-R 16-120-04'!$A$5:$A$10,0),MATCH(L3,'[5]SJCPIL-R 16-120-04'!$A$5:$M$5,0))</f>
        <v>0</v>
      </c>
      <c r="M10" s="543">
        <f>SUM(G10:L10)</f>
        <v>0</v>
      </c>
      <c r="N10" s="599">
        <f>INDEX('[5]SJCPIL-R 16-120-04'!$A$5:$M$10,MATCH("ALCALINA",'[5]SJCPIL-R 16-120-04'!$A$5:$A$10,0),MATCH(N3,'[5]SJCPIL-R 16-120-04'!$A$5:$M$5,0))</f>
        <v>0</v>
      </c>
      <c r="O10" s="599">
        <f>INDEX('[5]SJCPIL-R 16-120-04'!$A$5:$M$10,MATCH("ALCALINA",'[5]SJCPIL-R 16-120-04'!$A$5:$A$10,0),MATCH(O3,'[5]SJCPIL-R 16-120-04'!$A$5:$M$5,0))</f>
        <v>0</v>
      </c>
      <c r="P10" s="599">
        <f>INDEX('[5]SJCPIL-R 16-120-04'!$A$5:$M$10,MATCH("ALCALINA",'[5]SJCPIL-R 16-120-04'!$A$5:$A$10,0),MATCH(P3,'[5]SJCPIL-R 16-120-04'!$A$5:$M$5,0))</f>
        <v>0</v>
      </c>
      <c r="Q10" s="599">
        <f>INDEX('[5]SJCPIL-R 16-120-04'!$A$5:$M$10,MATCH("ALCALINA",'[5]SJCPIL-R 16-120-04'!$A$5:$A$10,0),MATCH(Q3,'[5]SJCPIL-R 16-120-04'!$A$5:$M$5,0))</f>
        <v>0</v>
      </c>
      <c r="R10" s="599">
        <f>INDEX('[5]SJCPIL-R 16-120-04'!$A$5:$M$10,MATCH("ALCALINA",'[5]SJCPIL-R 16-120-04'!$A$5:$A$10,0),MATCH(R3,'[5]SJCPIL-R 16-120-04'!$A$5:$M$5,0))</f>
        <v>0</v>
      </c>
      <c r="S10" s="599">
        <f>INDEX('[5]SJCPIL-R 16-120-04'!$A$5:$M$10,MATCH("ALCALINA",'[5]SJCPIL-R 16-120-04'!$A$5:$A$10,0),MATCH(S3,'[5]SJCPIL-R 16-120-04'!$A$5:$M$5,0))</f>
        <v>0</v>
      </c>
      <c r="T10" s="543">
        <f t="shared" ref="T10:T20" si="2">SUM(N10:S10)</f>
        <v>0</v>
      </c>
      <c r="U10" s="543">
        <f>M10+T10</f>
        <v>0</v>
      </c>
      <c r="W10" s="528"/>
    </row>
    <row r="11" spans="1:25" ht="19.5" customHeight="1">
      <c r="B11" s="754"/>
      <c r="C11" s="756"/>
      <c r="D11" s="758"/>
      <c r="E11" s="98"/>
      <c r="F11" s="372" t="s">
        <v>81</v>
      </c>
      <c r="G11" s="746">
        <f>SUBTOTAL(109,G8:G10)</f>
        <v>0</v>
      </c>
      <c r="H11" s="746">
        <f t="shared" ref="H11:S11" si="3">SUBTOTAL(109,H8:H10)</f>
        <v>0</v>
      </c>
      <c r="I11" s="746">
        <f t="shared" si="3"/>
        <v>0</v>
      </c>
      <c r="J11" s="746">
        <f t="shared" si="3"/>
        <v>0</v>
      </c>
      <c r="K11" s="746">
        <f t="shared" si="3"/>
        <v>0</v>
      </c>
      <c r="L11" s="746">
        <f t="shared" si="3"/>
        <v>0</v>
      </c>
      <c r="M11" s="740">
        <f t="shared" si="3"/>
        <v>0</v>
      </c>
      <c r="N11" s="746">
        <f t="shared" si="3"/>
        <v>0</v>
      </c>
      <c r="O11" s="746">
        <f t="shared" si="3"/>
        <v>0</v>
      </c>
      <c r="P11" s="746">
        <f t="shared" si="3"/>
        <v>0</v>
      </c>
      <c r="Q11" s="746">
        <f t="shared" si="3"/>
        <v>0</v>
      </c>
      <c r="R11" s="746">
        <f t="shared" si="3"/>
        <v>0</v>
      </c>
      <c r="S11" s="746">
        <f t="shared" si="3"/>
        <v>0</v>
      </c>
      <c r="T11" s="740">
        <f>SUM(N11:S11)</f>
        <v>0</v>
      </c>
      <c r="U11" s="740">
        <f>M11+T11</f>
        <v>0</v>
      </c>
    </row>
    <row r="12" spans="1:25" ht="16.5" customHeight="1">
      <c r="A12" s="69">
        <v>5</v>
      </c>
      <c r="B12" s="754"/>
      <c r="C12" s="756"/>
      <c r="D12" s="758"/>
      <c r="E12" s="113" t="s">
        <v>82</v>
      </c>
      <c r="F12" s="395" t="s">
        <v>84</v>
      </c>
      <c r="G12" s="586"/>
      <c r="H12" s="692"/>
      <c r="I12" s="692"/>
      <c r="J12" s="104"/>
      <c r="K12" s="104"/>
      <c r="L12" s="105"/>
      <c r="M12" s="545">
        <f t="shared" ref="M12:M20" si="4">SUM(G12:L12)</f>
        <v>0</v>
      </c>
      <c r="N12" s="103"/>
      <c r="O12" s="103"/>
      <c r="P12" s="107"/>
      <c r="Q12" s="103"/>
      <c r="R12" s="104"/>
      <c r="S12" s="105"/>
      <c r="T12" s="545">
        <f t="shared" si="2"/>
        <v>0</v>
      </c>
      <c r="U12" s="545">
        <f t="shared" ref="U12:U20" si="5">M12+T12</f>
        <v>0</v>
      </c>
    </row>
    <row r="13" spans="1:25" ht="16.5" customHeight="1">
      <c r="A13" s="69">
        <v>6</v>
      </c>
      <c r="B13" s="754"/>
      <c r="C13" s="756"/>
      <c r="D13" s="758"/>
      <c r="E13" s="113" t="s">
        <v>83</v>
      </c>
      <c r="F13" s="374" t="s">
        <v>85</v>
      </c>
      <c r="G13" s="693"/>
      <c r="H13" s="694"/>
      <c r="I13" s="695"/>
      <c r="J13" s="696"/>
      <c r="K13" s="108"/>
      <c r="L13" s="109"/>
      <c r="M13" s="546">
        <f t="shared" si="4"/>
        <v>0</v>
      </c>
      <c r="N13" s="111"/>
      <c r="O13" s="108"/>
      <c r="P13" s="112"/>
      <c r="Q13" s="111"/>
      <c r="R13" s="108"/>
      <c r="S13" s="109"/>
      <c r="T13" s="546">
        <f t="shared" si="2"/>
        <v>0</v>
      </c>
      <c r="U13" s="546">
        <f t="shared" si="5"/>
        <v>0</v>
      </c>
    </row>
    <row r="14" spans="1:25" ht="16.5" customHeight="1">
      <c r="A14" s="69">
        <v>7</v>
      </c>
      <c r="B14" s="754"/>
      <c r="C14" s="756"/>
      <c r="D14" s="758"/>
      <c r="E14" s="113"/>
      <c r="F14" s="399" t="s">
        <v>86</v>
      </c>
      <c r="G14" s="697"/>
      <c r="H14" s="698"/>
      <c r="I14" s="699"/>
      <c r="J14" s="700"/>
      <c r="K14" s="115"/>
      <c r="L14" s="116"/>
      <c r="M14" s="547"/>
      <c r="N14" s="114"/>
      <c r="O14" s="115"/>
      <c r="P14" s="118"/>
      <c r="Q14" s="114"/>
      <c r="R14" s="115"/>
      <c r="S14" s="116"/>
      <c r="T14" s="547"/>
      <c r="U14" s="547"/>
    </row>
    <row r="15" spans="1:25" ht="16.5" customHeight="1">
      <c r="A15" s="69">
        <v>8</v>
      </c>
      <c r="B15" s="754"/>
      <c r="C15" s="756"/>
      <c r="D15" s="758"/>
      <c r="E15" s="113"/>
      <c r="F15" s="398" t="s">
        <v>87</v>
      </c>
      <c r="G15" s="693"/>
      <c r="H15" s="694"/>
      <c r="I15" s="695"/>
      <c r="J15" s="696"/>
      <c r="K15" s="108"/>
      <c r="L15" s="109"/>
      <c r="M15" s="546">
        <f t="shared" si="4"/>
        <v>0</v>
      </c>
      <c r="N15" s="111"/>
      <c r="O15" s="108"/>
      <c r="P15" s="112"/>
      <c r="Q15" s="111"/>
      <c r="R15" s="108"/>
      <c r="S15" s="109"/>
      <c r="T15" s="546">
        <f t="shared" si="2"/>
        <v>0</v>
      </c>
      <c r="U15" s="546">
        <f t="shared" si="5"/>
        <v>0</v>
      </c>
    </row>
    <row r="16" spans="1:25" ht="16.5" customHeight="1">
      <c r="A16" s="69">
        <v>9</v>
      </c>
      <c r="B16" s="754"/>
      <c r="C16" s="756"/>
      <c r="D16" s="758"/>
      <c r="E16" s="113"/>
      <c r="F16" s="373" t="s">
        <v>118</v>
      </c>
      <c r="G16" s="599"/>
      <c r="H16" s="599"/>
      <c r="I16" s="701"/>
      <c r="J16" s="95"/>
      <c r="K16" s="94"/>
      <c r="L16" s="94"/>
      <c r="M16" s="548">
        <f t="shared" si="4"/>
        <v>0</v>
      </c>
      <c r="N16" s="94"/>
      <c r="O16" s="94"/>
      <c r="P16" s="97"/>
      <c r="Q16" s="93"/>
      <c r="R16" s="94"/>
      <c r="S16" s="95"/>
      <c r="T16" s="548">
        <f t="shared" si="2"/>
        <v>0</v>
      </c>
      <c r="U16" s="548">
        <f t="shared" si="5"/>
        <v>0</v>
      </c>
    </row>
    <row r="17" spans="1:21" ht="19.5" customHeight="1">
      <c r="B17" s="754"/>
      <c r="C17" s="756"/>
      <c r="D17" s="758"/>
      <c r="E17" s="113"/>
      <c r="F17" s="372" t="s">
        <v>88</v>
      </c>
      <c r="G17" s="746">
        <f>SUBTOTAL(109,G12:G16)</f>
        <v>0</v>
      </c>
      <c r="H17" s="746">
        <f t="shared" ref="H17:U17" si="6">SUBTOTAL(109,H12:H16)</f>
        <v>0</v>
      </c>
      <c r="I17" s="746">
        <f t="shared" si="6"/>
        <v>0</v>
      </c>
      <c r="J17" s="746">
        <f t="shared" si="6"/>
        <v>0</v>
      </c>
      <c r="K17" s="746">
        <f t="shared" si="6"/>
        <v>0</v>
      </c>
      <c r="L17" s="746">
        <f t="shared" si="6"/>
        <v>0</v>
      </c>
      <c r="M17" s="742">
        <f t="shared" si="6"/>
        <v>0</v>
      </c>
      <c r="N17" s="741">
        <f t="shared" si="6"/>
        <v>0</v>
      </c>
      <c r="O17" s="741">
        <f t="shared" si="6"/>
        <v>0</v>
      </c>
      <c r="P17" s="741">
        <f t="shared" si="6"/>
        <v>0</v>
      </c>
      <c r="Q17" s="248">
        <f t="shared" si="6"/>
        <v>0</v>
      </c>
      <c r="R17" s="743">
        <f t="shared" si="6"/>
        <v>0</v>
      </c>
      <c r="S17" s="744">
        <f t="shared" si="6"/>
        <v>0</v>
      </c>
      <c r="T17" s="742">
        <f t="shared" si="6"/>
        <v>0</v>
      </c>
      <c r="U17" s="742">
        <f t="shared" si="6"/>
        <v>0</v>
      </c>
    </row>
    <row r="18" spans="1:21" ht="19.5" customHeight="1">
      <c r="A18" s="69">
        <v>10</v>
      </c>
      <c r="B18" s="754"/>
      <c r="C18" s="756"/>
      <c r="D18" s="758"/>
      <c r="E18" s="375" t="s">
        <v>89</v>
      </c>
      <c r="F18" s="124"/>
      <c r="G18" s="702"/>
      <c r="H18" s="703"/>
      <c r="I18" s="704"/>
      <c r="J18" s="705"/>
      <c r="K18" s="126"/>
      <c r="L18" s="127"/>
      <c r="M18" s="549">
        <f t="shared" si="4"/>
        <v>0</v>
      </c>
      <c r="N18" s="125"/>
      <c r="O18" s="126"/>
      <c r="P18" s="129"/>
      <c r="Q18" s="125"/>
      <c r="R18" s="126"/>
      <c r="S18" s="127"/>
      <c r="T18" s="549">
        <f>SUM(N18:S18)</f>
        <v>0</v>
      </c>
      <c r="U18" s="549">
        <f t="shared" si="5"/>
        <v>0</v>
      </c>
    </row>
    <row r="19" spans="1:21" ht="19.5" customHeight="1">
      <c r="A19" s="69">
        <v>11</v>
      </c>
      <c r="B19" s="754"/>
      <c r="C19" s="756"/>
      <c r="D19" s="758"/>
      <c r="E19" s="375" t="s">
        <v>90</v>
      </c>
      <c r="F19" s="124"/>
      <c r="G19" s="702"/>
      <c r="H19" s="703"/>
      <c r="I19" s="704"/>
      <c r="J19" s="705"/>
      <c r="K19" s="126"/>
      <c r="L19" s="127"/>
      <c r="M19" s="549">
        <f t="shared" si="4"/>
        <v>0</v>
      </c>
      <c r="N19" s="125"/>
      <c r="O19" s="126"/>
      <c r="P19" s="129"/>
      <c r="Q19" s="125"/>
      <c r="R19" s="126"/>
      <c r="S19" s="127"/>
      <c r="T19" s="549">
        <f t="shared" si="2"/>
        <v>0</v>
      </c>
      <c r="U19" s="549">
        <f t="shared" si="5"/>
        <v>0</v>
      </c>
    </row>
    <row r="20" spans="1:21" ht="19.5" customHeight="1">
      <c r="A20" s="69">
        <v>12</v>
      </c>
      <c r="B20" s="754"/>
      <c r="C20" s="756"/>
      <c r="D20" s="758"/>
      <c r="E20" s="375" t="s">
        <v>91</v>
      </c>
      <c r="F20" s="130"/>
      <c r="G20" s="702"/>
      <c r="H20" s="703"/>
      <c r="I20" s="704"/>
      <c r="J20" s="705"/>
      <c r="K20" s="126"/>
      <c r="L20" s="127"/>
      <c r="M20" s="549">
        <f t="shared" si="4"/>
        <v>0</v>
      </c>
      <c r="N20" s="125"/>
      <c r="O20" s="126"/>
      <c r="P20" s="129"/>
      <c r="Q20" s="125"/>
      <c r="R20" s="126"/>
      <c r="S20" s="127"/>
      <c r="T20" s="549">
        <f t="shared" si="2"/>
        <v>0</v>
      </c>
      <c r="U20" s="549">
        <f t="shared" si="5"/>
        <v>0</v>
      </c>
    </row>
    <row r="21" spans="1:21" ht="21" customHeight="1" thickBot="1">
      <c r="B21" s="754"/>
      <c r="C21" s="756"/>
      <c r="D21" s="759"/>
      <c r="E21" s="760" t="s">
        <v>92</v>
      </c>
      <c r="F21" s="761"/>
      <c r="G21" s="746">
        <f>SUBTOTAL(109,G7:G20)</f>
        <v>0</v>
      </c>
      <c r="H21" s="746">
        <f t="shared" ref="H21:U21" si="7">SUBTOTAL(109,H7:H20)</f>
        <v>0</v>
      </c>
      <c r="I21" s="746">
        <f t="shared" si="7"/>
        <v>0</v>
      </c>
      <c r="J21" s="746">
        <f t="shared" si="7"/>
        <v>0</v>
      </c>
      <c r="K21" s="746">
        <f t="shared" si="7"/>
        <v>0</v>
      </c>
      <c r="L21" s="746">
        <f t="shared" si="7"/>
        <v>0</v>
      </c>
      <c r="M21" s="745">
        <f t="shared" si="7"/>
        <v>0</v>
      </c>
      <c r="N21" s="746">
        <f t="shared" si="7"/>
        <v>0</v>
      </c>
      <c r="O21" s="746">
        <f t="shared" si="7"/>
        <v>0</v>
      </c>
      <c r="P21" s="746">
        <f t="shared" si="7"/>
        <v>0</v>
      </c>
      <c r="Q21" s="746">
        <f t="shared" si="7"/>
        <v>0</v>
      </c>
      <c r="R21" s="746">
        <f t="shared" si="7"/>
        <v>0</v>
      </c>
      <c r="S21" s="746">
        <f t="shared" si="7"/>
        <v>0</v>
      </c>
      <c r="T21" s="745">
        <f t="shared" si="7"/>
        <v>0</v>
      </c>
      <c r="U21" s="745">
        <f t="shared" si="7"/>
        <v>0</v>
      </c>
    </row>
    <row r="22" spans="1:21" ht="18" customHeight="1" thickTop="1">
      <c r="A22" s="69">
        <v>13</v>
      </c>
      <c r="B22" s="754"/>
      <c r="C22" s="756"/>
      <c r="D22" s="762" t="s">
        <v>154</v>
      </c>
      <c r="E22" s="376" t="s">
        <v>93</v>
      </c>
      <c r="F22" s="136"/>
      <c r="G22" s="706"/>
      <c r="H22" s="707"/>
      <c r="I22" s="708"/>
      <c r="J22" s="708"/>
      <c r="K22" s="707"/>
      <c r="L22" s="707"/>
      <c r="M22" s="551">
        <f>SUM(G22:L22)</f>
        <v>0</v>
      </c>
      <c r="N22" s="137"/>
      <c r="O22" s="138"/>
      <c r="P22" s="141"/>
      <c r="Q22" s="137"/>
      <c r="R22" s="138"/>
      <c r="S22" s="139"/>
      <c r="T22" s="551">
        <f>SUM(N22:S22)</f>
        <v>0</v>
      </c>
      <c r="U22" s="551">
        <f>M22+T22</f>
        <v>0</v>
      </c>
    </row>
    <row r="23" spans="1:21" ht="16.5" customHeight="1">
      <c r="A23" s="69">
        <v>14</v>
      </c>
      <c r="B23" s="754"/>
      <c r="C23" s="756"/>
      <c r="D23" s="763"/>
      <c r="E23" s="377" t="s">
        <v>94</v>
      </c>
      <c r="F23" s="397" t="s">
        <v>96</v>
      </c>
      <c r="G23" s="586"/>
      <c r="H23" s="586"/>
      <c r="I23" s="586"/>
      <c r="J23" s="586"/>
      <c r="K23" s="586"/>
      <c r="L23" s="586"/>
      <c r="M23" s="545">
        <f>SUM(G23:L23)</f>
        <v>0</v>
      </c>
      <c r="N23" s="586"/>
      <c r="O23" s="586"/>
      <c r="P23" s="103"/>
      <c r="Q23" s="103"/>
      <c r="R23" s="103"/>
      <c r="S23" s="103"/>
      <c r="T23" s="545">
        <f t="shared" ref="T23:T32" si="8">SUM(N23:S23)</f>
        <v>0</v>
      </c>
      <c r="U23" s="545">
        <f>M23+T23</f>
        <v>0</v>
      </c>
    </row>
    <row r="24" spans="1:21" ht="16.5" customHeight="1">
      <c r="A24" s="69">
        <v>15</v>
      </c>
      <c r="B24" s="754"/>
      <c r="C24" s="756"/>
      <c r="D24" s="763"/>
      <c r="E24" s="92" t="s">
        <v>95</v>
      </c>
      <c r="F24" s="370" t="s">
        <v>97</v>
      </c>
      <c r="G24" s="697"/>
      <c r="H24" s="698"/>
      <c r="I24" s="699"/>
      <c r="J24" s="700"/>
      <c r="K24" s="115"/>
      <c r="L24" s="116"/>
      <c r="M24" s="547"/>
      <c r="N24" s="114"/>
      <c r="O24" s="115"/>
      <c r="P24" s="118"/>
      <c r="Q24" s="114"/>
      <c r="R24" s="115"/>
      <c r="S24" s="116"/>
      <c r="T24" s="547"/>
      <c r="U24" s="547"/>
    </row>
    <row r="25" spans="1:21" ht="16.5" customHeight="1">
      <c r="A25" s="69">
        <v>16</v>
      </c>
      <c r="B25" s="754"/>
      <c r="C25" s="756"/>
      <c r="D25" s="763"/>
      <c r="E25" s="92"/>
      <c r="F25" s="396" t="s">
        <v>98</v>
      </c>
      <c r="G25" s="693"/>
      <c r="H25" s="694"/>
      <c r="I25" s="695"/>
      <c r="J25" s="696"/>
      <c r="K25" s="108"/>
      <c r="L25" s="109"/>
      <c r="M25" s="546">
        <f>SUM(G25:L25)</f>
        <v>0</v>
      </c>
      <c r="N25" s="111"/>
      <c r="O25" s="108"/>
      <c r="P25" s="112"/>
      <c r="Q25" s="111"/>
      <c r="R25" s="108"/>
      <c r="S25" s="109"/>
      <c r="T25" s="546">
        <f t="shared" si="8"/>
        <v>0</v>
      </c>
      <c r="U25" s="546">
        <f>M25+T25</f>
        <v>0</v>
      </c>
    </row>
    <row r="26" spans="1:21" ht="16.5" customHeight="1">
      <c r="A26" s="69">
        <v>17</v>
      </c>
      <c r="B26" s="754"/>
      <c r="C26" s="756"/>
      <c r="D26" s="763"/>
      <c r="E26" s="92"/>
      <c r="F26" s="370" t="s">
        <v>99</v>
      </c>
      <c r="G26" s="697"/>
      <c r="H26" s="698"/>
      <c r="I26" s="699"/>
      <c r="J26" s="700"/>
      <c r="K26" s="115"/>
      <c r="L26" s="116"/>
      <c r="M26" s="547"/>
      <c r="N26" s="114"/>
      <c r="O26" s="115"/>
      <c r="P26" s="118"/>
      <c r="Q26" s="114"/>
      <c r="R26" s="115"/>
      <c r="S26" s="116"/>
      <c r="T26" s="547"/>
      <c r="U26" s="547"/>
    </row>
    <row r="27" spans="1:21" ht="16.5" customHeight="1">
      <c r="A27" s="69">
        <v>18</v>
      </c>
      <c r="B27" s="754"/>
      <c r="C27" s="756"/>
      <c r="D27" s="763"/>
      <c r="E27" s="142"/>
      <c r="F27" s="378" t="s">
        <v>44</v>
      </c>
      <c r="G27" s="599"/>
      <c r="H27" s="599"/>
      <c r="I27" s="701"/>
      <c r="J27" s="709"/>
      <c r="K27" s="94"/>
      <c r="L27" s="95"/>
      <c r="M27" s="548">
        <f t="shared" ref="M27:M34" si="9">SUM(G27:L27)</f>
        <v>0</v>
      </c>
      <c r="N27" s="93"/>
      <c r="O27" s="94"/>
      <c r="P27" s="97"/>
      <c r="Q27" s="93"/>
      <c r="R27" s="94"/>
      <c r="S27" s="95"/>
      <c r="T27" s="548">
        <f t="shared" si="8"/>
        <v>0</v>
      </c>
      <c r="U27" s="548">
        <f t="shared" ref="U27:U34" si="10">M27+T27</f>
        <v>0</v>
      </c>
    </row>
    <row r="28" spans="1:21" ht="18" customHeight="1">
      <c r="B28" s="754"/>
      <c r="C28" s="756"/>
      <c r="D28" s="763"/>
      <c r="E28" s="143"/>
      <c r="F28" s="379" t="s">
        <v>100</v>
      </c>
      <c r="G28" s="580">
        <f>SUBTOTAL(109,G22:G27)</f>
        <v>0</v>
      </c>
      <c r="H28" s="580">
        <f t="shared" ref="H28:M28" si="11">SUBTOTAL(109,H22:H27)</f>
        <v>0</v>
      </c>
      <c r="I28" s="580">
        <f t="shared" si="11"/>
        <v>0</v>
      </c>
      <c r="J28" s="580">
        <f t="shared" si="11"/>
        <v>0</v>
      </c>
      <c r="K28" s="580">
        <f t="shared" si="11"/>
        <v>0</v>
      </c>
      <c r="L28" s="580">
        <f t="shared" si="11"/>
        <v>0</v>
      </c>
      <c r="M28" s="544">
        <f t="shared" si="11"/>
        <v>0</v>
      </c>
      <c r="N28" s="580">
        <f t="shared" ref="N28" si="12">SUBTOTAL(109,N22:N27)</f>
        <v>0</v>
      </c>
      <c r="O28" s="580">
        <f t="shared" ref="O28" si="13">SUBTOTAL(109,O22:O27)</f>
        <v>0</v>
      </c>
      <c r="P28" s="580">
        <f t="shared" ref="P28" si="14">SUBTOTAL(109,P22:P27)</f>
        <v>0</v>
      </c>
      <c r="Q28" s="580">
        <f t="shared" ref="Q28" si="15">SUBTOTAL(109,Q22:Q27)</f>
        <v>0</v>
      </c>
      <c r="R28" s="580">
        <f t="shared" ref="R28" si="16">SUBTOTAL(109,R22:R27)</f>
        <v>0</v>
      </c>
      <c r="S28" s="580">
        <f t="shared" ref="S28" si="17">SUBTOTAL(109,S22:S27)</f>
        <v>0</v>
      </c>
      <c r="T28" s="544">
        <f>SUM(N28:S28)</f>
        <v>0</v>
      </c>
      <c r="U28" s="544">
        <f t="shared" si="10"/>
        <v>0</v>
      </c>
    </row>
    <row r="29" spans="1:21" ht="16.5" customHeight="1">
      <c r="A29" s="69">
        <v>19</v>
      </c>
      <c r="B29" s="754"/>
      <c r="C29" s="756"/>
      <c r="D29" s="763"/>
      <c r="E29" s="377" t="s">
        <v>101</v>
      </c>
      <c r="F29" s="397" t="s">
        <v>103</v>
      </c>
      <c r="G29" s="710"/>
      <c r="H29" s="710"/>
      <c r="I29" s="710"/>
      <c r="J29" s="240"/>
      <c r="K29" s="240"/>
      <c r="L29" s="240"/>
      <c r="M29" s="545">
        <f t="shared" si="9"/>
        <v>0</v>
      </c>
      <c r="N29" s="240"/>
      <c r="O29" s="240"/>
      <c r="P29" s="240"/>
      <c r="Q29" s="240"/>
      <c r="R29" s="240"/>
      <c r="S29" s="240"/>
      <c r="T29" s="545">
        <f t="shared" si="8"/>
        <v>0</v>
      </c>
      <c r="U29" s="545">
        <f t="shared" si="10"/>
        <v>0</v>
      </c>
    </row>
    <row r="30" spans="1:21" ht="16.5" customHeight="1">
      <c r="A30" s="69">
        <v>20</v>
      </c>
      <c r="B30" s="754"/>
      <c r="C30" s="756"/>
      <c r="D30" s="763"/>
      <c r="E30" s="92" t="s">
        <v>102</v>
      </c>
      <c r="F30" s="374" t="s">
        <v>119</v>
      </c>
      <c r="G30" s="711"/>
      <c r="H30" s="712"/>
      <c r="I30" s="713"/>
      <c r="J30" s="714"/>
      <c r="K30" s="242"/>
      <c r="L30" s="243"/>
      <c r="M30" s="552">
        <f t="shared" si="9"/>
        <v>0</v>
      </c>
      <c r="N30" s="243"/>
      <c r="O30" s="242"/>
      <c r="P30" s="244"/>
      <c r="Q30" s="245"/>
      <c r="R30" s="242"/>
      <c r="S30" s="243"/>
      <c r="T30" s="552">
        <f t="shared" si="8"/>
        <v>0</v>
      </c>
      <c r="U30" s="552">
        <f t="shared" si="10"/>
        <v>0</v>
      </c>
    </row>
    <row r="31" spans="1:21" ht="18" customHeight="1">
      <c r="B31" s="754"/>
      <c r="C31" s="756"/>
      <c r="D31" s="758"/>
      <c r="E31" s="98"/>
      <c r="F31" s="379" t="s">
        <v>104</v>
      </c>
      <c r="G31" s="715"/>
      <c r="H31" s="716"/>
      <c r="I31" s="716"/>
      <c r="J31" s="716"/>
      <c r="K31" s="716"/>
      <c r="L31" s="716"/>
      <c r="M31" s="543">
        <f t="shared" si="9"/>
        <v>0</v>
      </c>
      <c r="N31" s="120"/>
      <c r="O31" s="121"/>
      <c r="P31" s="123"/>
      <c r="Q31" s="120"/>
      <c r="R31" s="121"/>
      <c r="S31" s="122"/>
      <c r="T31" s="543">
        <f>SUM(N31:S31)</f>
        <v>0</v>
      </c>
      <c r="U31" s="543">
        <f t="shared" si="10"/>
        <v>0</v>
      </c>
    </row>
    <row r="32" spans="1:21" ht="18" customHeight="1">
      <c r="A32" s="69">
        <v>21</v>
      </c>
      <c r="B32" s="754"/>
      <c r="C32" s="756"/>
      <c r="D32" s="758"/>
      <c r="E32" s="375" t="s">
        <v>105</v>
      </c>
      <c r="F32" s="130"/>
      <c r="G32" s="585">
        <f>INDEX('[4]SJCPIL-R 17-204-01'!$E$44:$S$44,1,MATCH(G3,'[4]SJCPIL-R 17-204-01'!$E$4:$S$4,0))</f>
        <v>0</v>
      </c>
      <c r="H32" s="585">
        <f>INDEX('[4]SJCPIL-R 17-204-01'!$E$44:$S$44,1,MATCH(H3,'[4]SJCPIL-R 17-204-01'!$E$4:$S$4,0))</f>
        <v>0</v>
      </c>
      <c r="I32" s="585">
        <f>INDEX('[4]SJCPIL-R 17-204-01'!$E$44:$S$44,1,MATCH(I3,'[4]SJCPIL-R 17-204-01'!$E$4:$S$4,0))</f>
        <v>0</v>
      </c>
      <c r="J32" s="585">
        <f>INDEX('[4]SJCPIL-R 17-204-01'!$E$44:$S$44,1,MATCH(J3,'[4]SJCPIL-R 17-204-01'!$E$4:$S$4,0))</f>
        <v>0</v>
      </c>
      <c r="K32" s="585">
        <f>INDEX('[4]SJCPIL-R 17-204-01'!$E$44:$S$44,1,MATCH(K3,'[4]SJCPIL-R 17-204-01'!$E$4:$S$4,0))</f>
        <v>0</v>
      </c>
      <c r="L32" s="585">
        <f>INDEX('[4]SJCPIL-R 17-204-01'!$E$44:$S$44,1,MATCH(L3,'[4]SJCPIL-R 17-204-01'!$E$4:$S$4,0))</f>
        <v>0</v>
      </c>
      <c r="M32" s="548">
        <f t="shared" si="9"/>
        <v>0</v>
      </c>
      <c r="N32" s="585">
        <f>INDEX('[4]SJCPIL-R 17-204-01'!$E$44:$S$44,1,MATCH(N3,'[4]SJCPIL-R 17-204-01'!$E$4:$S$4,0))</f>
        <v>0</v>
      </c>
      <c r="O32" s="585">
        <f>INDEX('[4]SJCPIL-R 17-204-01'!$E$44:$S$44,1,MATCH(O3,'[4]SJCPIL-R 17-204-01'!$E$4:$S$4,0))</f>
        <v>0</v>
      </c>
      <c r="P32" s="585">
        <f>INDEX('[4]SJCPIL-R 17-204-01'!$E$44:$S$44,1,MATCH(P3,'[4]SJCPIL-R 17-204-01'!$E$4:$S$4,0))</f>
        <v>0</v>
      </c>
      <c r="Q32" s="585">
        <f>INDEX('[4]SJCPIL-R 17-204-01'!$E$44:$S$44,1,MATCH(Q3,'[4]SJCPIL-R 17-204-01'!$E$4:$S$4,0))</f>
        <v>0</v>
      </c>
      <c r="R32" s="585">
        <f>INDEX('[4]SJCPIL-R 17-204-01'!$E$44:$S$44,1,MATCH(R3,'[4]SJCPIL-R 17-204-01'!$E$4:$S$4,0))</f>
        <v>0</v>
      </c>
      <c r="S32" s="585">
        <f>INDEX('[4]SJCPIL-R 17-204-01'!$E$44:$S$44,1,MATCH(S3,'[4]SJCPIL-R 17-204-01'!$E$4:$S$4,0))</f>
        <v>0</v>
      </c>
      <c r="T32" s="548">
        <f t="shared" si="8"/>
        <v>0</v>
      </c>
      <c r="U32" s="548">
        <f t="shared" si="10"/>
        <v>0</v>
      </c>
    </row>
    <row r="33" spans="1:21" ht="21" customHeight="1" thickBot="1">
      <c r="B33" s="754"/>
      <c r="C33" s="756"/>
      <c r="D33" s="759"/>
      <c r="E33" s="760" t="s">
        <v>106</v>
      </c>
      <c r="F33" s="761"/>
      <c r="G33" s="584">
        <f t="shared" ref="G33:L33" si="18">SUBTOTAL(109,G22:G32)</f>
        <v>0</v>
      </c>
      <c r="H33" s="584">
        <f t="shared" si="18"/>
        <v>0</v>
      </c>
      <c r="I33" s="584">
        <f t="shared" si="18"/>
        <v>0</v>
      </c>
      <c r="J33" s="584">
        <f t="shared" si="18"/>
        <v>0</v>
      </c>
      <c r="K33" s="584">
        <f t="shared" si="18"/>
        <v>0</v>
      </c>
      <c r="L33" s="584">
        <f t="shared" si="18"/>
        <v>0</v>
      </c>
      <c r="M33" s="550">
        <f t="shared" si="9"/>
        <v>0</v>
      </c>
      <c r="N33" s="584">
        <f t="shared" ref="N33:S33" si="19">SUBTOTAL(109,N22:N32)</f>
        <v>0</v>
      </c>
      <c r="O33" s="584">
        <f t="shared" si="19"/>
        <v>0</v>
      </c>
      <c r="P33" s="584">
        <f t="shared" si="19"/>
        <v>0</v>
      </c>
      <c r="Q33" s="584">
        <f t="shared" si="19"/>
        <v>0</v>
      </c>
      <c r="R33" s="584">
        <f t="shared" si="19"/>
        <v>0</v>
      </c>
      <c r="S33" s="584">
        <f t="shared" si="19"/>
        <v>0</v>
      </c>
      <c r="T33" s="550">
        <f>SUM(N33:S33)</f>
        <v>0</v>
      </c>
      <c r="U33" s="550">
        <f t="shared" si="10"/>
        <v>0</v>
      </c>
    </row>
    <row r="34" spans="1:21" ht="21" customHeight="1" thickTop="1" thickBot="1">
      <c r="B34" s="754"/>
      <c r="C34" s="757"/>
      <c r="D34" s="784" t="s">
        <v>107</v>
      </c>
      <c r="E34" s="784"/>
      <c r="F34" s="785"/>
      <c r="G34" s="579">
        <f t="shared" ref="G34:L34" si="20">SUBTOTAL(9,G7:G33)</f>
        <v>0</v>
      </c>
      <c r="H34" s="579">
        <f t="shared" si="20"/>
        <v>0</v>
      </c>
      <c r="I34" s="579">
        <f t="shared" si="20"/>
        <v>0</v>
      </c>
      <c r="J34" s="579">
        <f t="shared" si="20"/>
        <v>0</v>
      </c>
      <c r="K34" s="579">
        <f t="shared" si="20"/>
        <v>0</v>
      </c>
      <c r="L34" s="579">
        <f t="shared" si="20"/>
        <v>0</v>
      </c>
      <c r="M34" s="553">
        <f t="shared" si="9"/>
        <v>0</v>
      </c>
      <c r="N34" s="579">
        <f t="shared" ref="N34:S34" si="21">SUBTOTAL(9,N7:N33)</f>
        <v>0</v>
      </c>
      <c r="O34" s="579">
        <f t="shared" si="21"/>
        <v>0</v>
      </c>
      <c r="P34" s="579">
        <f t="shared" si="21"/>
        <v>0</v>
      </c>
      <c r="Q34" s="579">
        <f t="shared" si="21"/>
        <v>0</v>
      </c>
      <c r="R34" s="579">
        <f t="shared" si="21"/>
        <v>0</v>
      </c>
      <c r="S34" s="579">
        <f t="shared" si="21"/>
        <v>0</v>
      </c>
      <c r="T34" s="553">
        <f>SUM(N34:S34)</f>
        <v>0</v>
      </c>
      <c r="U34" s="553">
        <f t="shared" si="10"/>
        <v>0</v>
      </c>
    </row>
    <row r="35" spans="1:21" ht="16.5" customHeight="1">
      <c r="A35" s="35">
        <v>22</v>
      </c>
      <c r="B35" s="754"/>
      <c r="C35" s="786" t="s">
        <v>52</v>
      </c>
      <c r="D35" s="788" t="s">
        <v>108</v>
      </c>
      <c r="E35" s="380" t="s">
        <v>109</v>
      </c>
      <c r="F35" s="381" t="s">
        <v>110</v>
      </c>
      <c r="G35" s="717"/>
      <c r="H35" s="718"/>
      <c r="I35" s="152"/>
      <c r="J35" s="719"/>
      <c r="K35" s="151"/>
      <c r="L35" s="152"/>
      <c r="M35" s="554"/>
      <c r="N35" s="150"/>
      <c r="O35" s="151"/>
      <c r="P35" s="154"/>
      <c r="Q35" s="150"/>
      <c r="R35" s="151"/>
      <c r="S35" s="152"/>
      <c r="T35" s="554"/>
      <c r="U35" s="554"/>
    </row>
    <row r="36" spans="1:21" ht="16.5" customHeight="1">
      <c r="A36" s="35">
        <v>23</v>
      </c>
      <c r="B36" s="754"/>
      <c r="C36" s="787"/>
      <c r="D36" s="789"/>
      <c r="E36" s="155"/>
      <c r="F36" s="382" t="s">
        <v>111</v>
      </c>
      <c r="G36" s="688"/>
      <c r="H36" s="689"/>
      <c r="I36" s="158"/>
      <c r="J36" s="720"/>
      <c r="K36" s="157"/>
      <c r="L36" s="158"/>
      <c r="M36" s="555"/>
      <c r="N36" s="156"/>
      <c r="O36" s="157"/>
      <c r="P36" s="160"/>
      <c r="Q36" s="156"/>
      <c r="R36" s="157"/>
      <c r="S36" s="158"/>
      <c r="T36" s="555"/>
      <c r="U36" s="555"/>
    </row>
    <row r="37" spans="1:21" ht="16.5" customHeight="1">
      <c r="A37" s="35">
        <v>24</v>
      </c>
      <c r="B37" s="754"/>
      <c r="C37" s="787"/>
      <c r="D37" s="789"/>
      <c r="E37" s="799" t="s">
        <v>117</v>
      </c>
      <c r="F37" s="382" t="s">
        <v>120</v>
      </c>
      <c r="G37" s="581"/>
      <c r="H37" s="581"/>
      <c r="I37" s="161"/>
      <c r="J37" s="161"/>
      <c r="K37" s="161"/>
      <c r="L37" s="161"/>
      <c r="M37" s="556">
        <f>SUM(G37:L37)</f>
        <v>0</v>
      </c>
      <c r="N37" s="161"/>
      <c r="O37" s="161"/>
      <c r="P37" s="161"/>
      <c r="Q37" s="161"/>
      <c r="R37" s="161"/>
      <c r="S37" s="161"/>
      <c r="T37" s="556">
        <f>SUM(N37:S37)</f>
        <v>0</v>
      </c>
      <c r="U37" s="556">
        <f>M37+T37</f>
        <v>0</v>
      </c>
    </row>
    <row r="38" spans="1:21" ht="16.5" customHeight="1">
      <c r="A38" s="35">
        <v>25</v>
      </c>
      <c r="B38" s="754"/>
      <c r="C38" s="787"/>
      <c r="D38" s="789"/>
      <c r="E38" s="799"/>
      <c r="F38" s="382" t="s">
        <v>112</v>
      </c>
      <c r="G38" s="581">
        <f>INDEX('[4]SJCPIL-R 17-204-01'!$E$16:$S$16,1,MATCH(G3,'[4]SJCPIL-R 17-204-01'!$E$4:$S$4,0))</f>
        <v>0</v>
      </c>
      <c r="H38" s="581">
        <f>INDEX('[4]SJCPIL-R 17-204-01'!$E$16:$S$16,1,MATCH(H3,'[4]SJCPIL-R 17-204-01'!$E$4:$S$4,0))</f>
        <v>0</v>
      </c>
      <c r="I38" s="581">
        <f>INDEX('[4]SJCPIL-R 17-204-01'!$E$16:$S$16,1,MATCH(I3,'[4]SJCPIL-R 17-204-01'!$E$4:$S$4,0))</f>
        <v>0</v>
      </c>
      <c r="J38" s="581">
        <f>INDEX('[4]SJCPIL-R 17-204-01'!$E$16:$S$16,1,MATCH(J3,'[4]SJCPIL-R 17-204-01'!$E$4:$S$4,0))</f>
        <v>0</v>
      </c>
      <c r="K38" s="581">
        <f>INDEX('[4]SJCPIL-R 17-204-01'!$E$16:$S$16,1,MATCH(K3,'[4]SJCPIL-R 17-204-01'!$E$4:$S$4,0))</f>
        <v>0</v>
      </c>
      <c r="L38" s="581">
        <f>INDEX('[4]SJCPIL-R 17-204-01'!$E$16:$S$16,1,MATCH(L3,'[4]SJCPIL-R 17-204-01'!$E$4:$S$4,0))</f>
        <v>0</v>
      </c>
      <c r="M38" s="556">
        <f>SUM(G38:L38)</f>
        <v>0</v>
      </c>
      <c r="N38" s="581">
        <f>INDEX('[4]SJCPIL-R 17-204-01'!$E$16:$S$16,1,MATCH(N3,'[4]SJCPIL-R 17-204-01'!$E$4:$S$4,0))</f>
        <v>0</v>
      </c>
      <c r="O38" s="581">
        <f>INDEX('[4]SJCPIL-R 17-204-01'!$E$16:$S$16,1,MATCH(O3,'[4]SJCPIL-R 17-204-01'!$E$4:$S$4,0))</f>
        <v>0</v>
      </c>
      <c r="P38" s="581">
        <f>INDEX('[4]SJCPIL-R 17-204-01'!$E$16:$S$16,1,MATCH(P3,'[4]SJCPIL-R 17-204-01'!$E$4:$S$4,0))</f>
        <v>0</v>
      </c>
      <c r="Q38" s="581">
        <f>INDEX('[4]SJCPIL-R 17-204-01'!$E$16:$S$16,1,MATCH(Q3,'[4]SJCPIL-R 17-204-01'!$E$4:$S$4,0))</f>
        <v>0</v>
      </c>
      <c r="R38" s="581">
        <f>INDEX('[4]SJCPIL-R 17-204-01'!$E$16:$S$16,1,MATCH(R3,'[4]SJCPIL-R 17-204-01'!$E$4:$S$4,0))</f>
        <v>0</v>
      </c>
      <c r="S38" s="581">
        <f>INDEX('[4]SJCPIL-R 17-204-01'!$E$16:$S$16,1,MATCH(S3,'[4]SJCPIL-R 17-204-01'!$E$4:$S$4,0))</f>
        <v>0</v>
      </c>
      <c r="T38" s="556">
        <f>SUM(N38:S38)</f>
        <v>0</v>
      </c>
      <c r="U38" s="556">
        <f>M38+T38</f>
        <v>0</v>
      </c>
    </row>
    <row r="39" spans="1:21" ht="16.5" customHeight="1">
      <c r="A39" s="35">
        <v>26</v>
      </c>
      <c r="B39" s="754"/>
      <c r="C39" s="787"/>
      <c r="D39" s="789"/>
      <c r="E39" s="155"/>
      <c r="F39" s="382" t="s">
        <v>113</v>
      </c>
      <c r="G39" s="688"/>
      <c r="H39" s="689"/>
      <c r="I39" s="158"/>
      <c r="J39" s="720"/>
      <c r="K39" s="157"/>
      <c r="L39" s="158"/>
      <c r="M39" s="555"/>
      <c r="N39" s="156"/>
      <c r="O39" s="157"/>
      <c r="P39" s="160"/>
      <c r="Q39" s="156"/>
      <c r="R39" s="157"/>
      <c r="S39" s="158"/>
      <c r="T39" s="555"/>
      <c r="U39" s="555"/>
    </row>
    <row r="40" spans="1:21" ht="16.5" customHeight="1">
      <c r="A40" s="35">
        <v>27</v>
      </c>
      <c r="B40" s="754"/>
      <c r="C40" s="787"/>
      <c r="D40" s="789"/>
      <c r="E40" s="163"/>
      <c r="F40" s="383" t="s">
        <v>44</v>
      </c>
      <c r="G40" s="721"/>
      <c r="H40" s="722"/>
      <c r="I40" s="166"/>
      <c r="J40" s="723"/>
      <c r="K40" s="165"/>
      <c r="L40" s="166"/>
      <c r="M40" s="557">
        <f>SUM(G40:L40)</f>
        <v>0</v>
      </c>
      <c r="N40" s="164"/>
      <c r="O40" s="165"/>
      <c r="P40" s="168"/>
      <c r="Q40" s="164"/>
      <c r="R40" s="165"/>
      <c r="S40" s="166"/>
      <c r="T40" s="557">
        <f>SUM(N40:S40)</f>
        <v>0</v>
      </c>
      <c r="U40" s="557">
        <f>M40+T40</f>
        <v>0</v>
      </c>
    </row>
    <row r="41" spans="1:21" ht="18" customHeight="1" thickBot="1">
      <c r="B41" s="754"/>
      <c r="C41" s="787"/>
      <c r="D41" s="789"/>
      <c r="E41" s="169"/>
      <c r="F41" s="379" t="s">
        <v>114</v>
      </c>
      <c r="G41" s="651">
        <f t="shared" ref="G41:L41" si="22">SUBTOTAL(109,G35:G40)</f>
        <v>0</v>
      </c>
      <c r="H41" s="651">
        <f t="shared" si="22"/>
        <v>0</v>
      </c>
      <c r="I41" s="651">
        <f t="shared" si="22"/>
        <v>0</v>
      </c>
      <c r="J41" s="651">
        <f t="shared" si="22"/>
        <v>0</v>
      </c>
      <c r="K41" s="651">
        <f t="shared" si="22"/>
        <v>0</v>
      </c>
      <c r="L41" s="651">
        <f t="shared" si="22"/>
        <v>0</v>
      </c>
      <c r="M41" s="558">
        <f>SUM(G41:L41)</f>
        <v>0</v>
      </c>
      <c r="N41" s="651">
        <f>INDEX('[6]G3322 - GRUPO PILHAS ALK'!$B$7:$AE$27,13,MATCH(N$62,'[6]G3322 - GRUPO PILHAS ALK'!$B$7:$AE$7,0))</f>
        <v>1569</v>
      </c>
      <c r="O41" s="651">
        <f>INDEX('[6]G3322 - GRUPO PILHAS ALK'!$B$7:$AE$27,13,MATCH(O$62,'[6]G3322 - GRUPO PILHAS ALK'!$B$7:$AE$7,0))</f>
        <v>2596</v>
      </c>
      <c r="P41" s="651">
        <f>INDEX('[6]G3322 - GRUPO PILHAS ALK'!$B$7:$AE$27,13,MATCH(P$62,'[6]G3322 - GRUPO PILHAS ALK'!$B$7:$AE$7,0))</f>
        <v>1841</v>
      </c>
      <c r="Q41" s="651">
        <f>INDEX('[6]G3322 - GRUPO PILHAS ALK'!$B$7:$AE$27,13,MATCH(Q$62,'[6]G3322 - GRUPO PILHAS ALK'!$B$7:$AE$7,0))</f>
        <v>0</v>
      </c>
      <c r="R41" s="651">
        <f>INDEX('[6]G3322 - GRUPO PILHAS ALK'!$B$7:$AE$27,13,MATCH(R$62,'[6]G3322 - GRUPO PILHAS ALK'!$B$7:$AE$7,0))</f>
        <v>0</v>
      </c>
      <c r="S41" s="651">
        <f>INDEX('[6]G3322 - GRUPO PILHAS ALK'!$B$7:$AE$27,13,MATCH(S$62,'[6]G3322 - GRUPO PILHAS ALK'!$B$7:$AE$7,0))</f>
        <v>0</v>
      </c>
      <c r="T41" s="558">
        <f>SUM(N41:S41)</f>
        <v>6006</v>
      </c>
      <c r="U41" s="558">
        <f>M41+T41</f>
        <v>6006</v>
      </c>
    </row>
    <row r="42" spans="1:21" ht="16.5" hidden="1" customHeight="1">
      <c r="A42" s="35">
        <v>29</v>
      </c>
      <c r="B42" s="754"/>
      <c r="C42" s="787"/>
      <c r="D42" s="789"/>
      <c r="E42" s="384" t="s">
        <v>180</v>
      </c>
      <c r="F42" s="385"/>
      <c r="G42" s="172"/>
      <c r="H42" s="173"/>
      <c r="I42" s="174"/>
      <c r="J42" s="175"/>
      <c r="K42" s="173"/>
      <c r="L42" s="174"/>
      <c r="M42" s="559"/>
      <c r="N42" s="172">
        <f>INDEX('[6]G3322 - GRUPO PILHAS ALK'!$B$7:$AE$27,13,MATCH(N$62,'[6]G3322 - GRUPO PILHAS ALK'!$B$7:$AE$7,0))</f>
        <v>1569</v>
      </c>
      <c r="O42" s="173">
        <f>INDEX('[6]G3322 - GRUPO PILHAS ALK'!$B$7:$AE$27,13,MATCH(O$62,'[6]G3322 - GRUPO PILHAS ALK'!$B$7:$AE$7,0))</f>
        <v>2596</v>
      </c>
      <c r="P42" s="177">
        <f>INDEX('[6]G3322 - GRUPO PILHAS ALK'!$B$7:$AE$27,13,MATCH(P$62,'[6]G3322 - GRUPO PILHAS ALK'!$B$7:$AE$7,0))</f>
        <v>1841</v>
      </c>
      <c r="Q42" s="172">
        <f>INDEX('[6]G3322 - GRUPO PILHAS ALK'!$B$7:$AE$27,13,MATCH(Q$62,'[6]G3322 - GRUPO PILHAS ALK'!$B$7:$AE$7,0))</f>
        <v>0</v>
      </c>
      <c r="R42" s="173">
        <f>INDEX('[6]G3322 - GRUPO PILHAS ALK'!$B$7:$AE$27,13,MATCH(R$62,'[6]G3322 - GRUPO PILHAS ALK'!$B$7:$AE$7,0))</f>
        <v>0</v>
      </c>
      <c r="S42" s="174">
        <f>INDEX('[6]G3322 - GRUPO PILHAS ALK'!$B$7:$AE$27,13,MATCH(S$62,'[6]G3322 - GRUPO PILHAS ALK'!$B$7:$AE$7,0))</f>
        <v>0</v>
      </c>
      <c r="T42" s="176"/>
      <c r="U42" s="178"/>
    </row>
    <row r="43" spans="1:21" ht="16.5" hidden="1" customHeight="1">
      <c r="A43" s="35">
        <v>30</v>
      </c>
      <c r="B43" s="754"/>
      <c r="C43" s="787"/>
      <c r="D43" s="789"/>
      <c r="E43" s="155" t="s">
        <v>181</v>
      </c>
      <c r="F43" s="386" t="s">
        <v>182</v>
      </c>
      <c r="G43" s="179"/>
      <c r="H43" s="180"/>
      <c r="I43" s="181"/>
      <c r="J43" s="724"/>
      <c r="K43" s="180"/>
      <c r="L43" s="181"/>
      <c r="M43" s="560"/>
      <c r="N43" s="179">
        <f>INDEX('[6]G3322 - GRUPO PILHAS ALK'!$B$7:$AE$27,13,MATCH(N$62,'[6]G3322 - GRUPO PILHAS ALK'!$B$7:$AE$7,0))</f>
        <v>1569</v>
      </c>
      <c r="O43" s="180">
        <f>INDEX('[6]G3322 - GRUPO PILHAS ALK'!$B$7:$AE$27,13,MATCH(O$62,'[6]G3322 - GRUPO PILHAS ALK'!$B$7:$AE$7,0))</f>
        <v>2596</v>
      </c>
      <c r="P43" s="183">
        <f>INDEX('[6]G3322 - GRUPO PILHAS ALK'!$B$7:$AE$27,13,MATCH(P$62,'[6]G3322 - GRUPO PILHAS ALK'!$B$7:$AE$7,0))</f>
        <v>1841</v>
      </c>
      <c r="Q43" s="179">
        <f>INDEX('[6]G3322 - GRUPO PILHAS ALK'!$B$7:$AE$27,13,MATCH(Q$62,'[6]G3322 - GRUPO PILHAS ALK'!$B$7:$AE$7,0))</f>
        <v>0</v>
      </c>
      <c r="R43" s="180">
        <f>INDEX('[6]G3322 - GRUPO PILHAS ALK'!$B$7:$AE$27,13,MATCH(R$62,'[6]G3322 - GRUPO PILHAS ALK'!$B$7:$AE$7,0))</f>
        <v>0</v>
      </c>
      <c r="S43" s="181">
        <f>INDEX('[6]G3322 - GRUPO PILHAS ALK'!$B$7:$AE$27,13,MATCH(S$62,'[6]G3322 - GRUPO PILHAS ALK'!$B$7:$AE$7,0))</f>
        <v>0</v>
      </c>
      <c r="T43" s="182"/>
      <c r="U43" s="184"/>
    </row>
    <row r="44" spans="1:21" ht="16.5" hidden="1" customHeight="1">
      <c r="A44" s="35">
        <v>31</v>
      </c>
      <c r="B44" s="754"/>
      <c r="C44" s="787"/>
      <c r="D44" s="789"/>
      <c r="E44" s="155" t="s">
        <v>183</v>
      </c>
      <c r="F44" s="382" t="s">
        <v>184</v>
      </c>
      <c r="G44" s="185"/>
      <c r="H44" s="186"/>
      <c r="I44" s="187"/>
      <c r="J44" s="725"/>
      <c r="K44" s="186"/>
      <c r="L44" s="187"/>
      <c r="M44" s="560"/>
      <c r="N44" s="185">
        <f>INDEX('[6]G3322 - GRUPO PILHAS ALK'!$B$7:$AE$27,13,MATCH(N$62,'[6]G3322 - GRUPO PILHAS ALK'!$B$7:$AE$7,0))</f>
        <v>1569</v>
      </c>
      <c r="O44" s="186">
        <f>INDEX('[6]G3322 - GRUPO PILHAS ALK'!$B$7:$AE$27,13,MATCH(O$62,'[6]G3322 - GRUPO PILHAS ALK'!$B$7:$AE$7,0))</f>
        <v>2596</v>
      </c>
      <c r="P44" s="188">
        <f>INDEX('[6]G3322 - GRUPO PILHAS ALK'!$B$7:$AE$27,13,MATCH(P$62,'[6]G3322 - GRUPO PILHAS ALK'!$B$7:$AE$7,0))</f>
        <v>1841</v>
      </c>
      <c r="Q44" s="185">
        <f>INDEX('[6]G3322 - GRUPO PILHAS ALK'!$B$7:$AE$27,13,MATCH(Q$62,'[6]G3322 - GRUPO PILHAS ALK'!$B$7:$AE$7,0))</f>
        <v>0</v>
      </c>
      <c r="R44" s="186">
        <f>INDEX('[6]G3322 - GRUPO PILHAS ALK'!$B$7:$AE$27,13,MATCH(R$62,'[6]G3322 - GRUPO PILHAS ALK'!$B$7:$AE$7,0))</f>
        <v>0</v>
      </c>
      <c r="S44" s="187">
        <f>INDEX('[6]G3322 - GRUPO PILHAS ALK'!$B$7:$AE$27,13,MATCH(S$62,'[6]G3322 - GRUPO PILHAS ALK'!$B$7:$AE$7,0))</f>
        <v>0</v>
      </c>
      <c r="T44" s="182"/>
      <c r="U44" s="182"/>
    </row>
    <row r="45" spans="1:21" ht="16.5" hidden="1" customHeight="1">
      <c r="A45" s="35">
        <v>32</v>
      </c>
      <c r="B45" s="754"/>
      <c r="C45" s="787"/>
      <c r="D45" s="789"/>
      <c r="E45" s="155"/>
      <c r="F45" s="387" t="s">
        <v>185</v>
      </c>
      <c r="G45" s="179"/>
      <c r="H45" s="180"/>
      <c r="I45" s="181"/>
      <c r="J45" s="724"/>
      <c r="K45" s="180"/>
      <c r="L45" s="181"/>
      <c r="M45" s="561"/>
      <c r="N45" s="179">
        <f>INDEX('[6]G3322 - GRUPO PILHAS ALK'!$B$7:$AE$27,13,MATCH(N$62,'[6]G3322 - GRUPO PILHAS ALK'!$B$7:$AE$7,0))</f>
        <v>1569</v>
      </c>
      <c r="O45" s="180">
        <f>INDEX('[6]G3322 - GRUPO PILHAS ALK'!$B$7:$AE$27,13,MATCH(O$62,'[6]G3322 - GRUPO PILHAS ALK'!$B$7:$AE$7,0))</f>
        <v>2596</v>
      </c>
      <c r="P45" s="183">
        <f>INDEX('[6]G3322 - GRUPO PILHAS ALK'!$B$7:$AE$27,13,MATCH(P$62,'[6]G3322 - GRUPO PILHAS ALK'!$B$7:$AE$7,0))</f>
        <v>1841</v>
      </c>
      <c r="Q45" s="179">
        <f>INDEX('[6]G3322 - GRUPO PILHAS ALK'!$B$7:$AE$27,13,MATCH(Q$62,'[6]G3322 - GRUPO PILHAS ALK'!$B$7:$AE$7,0))</f>
        <v>0</v>
      </c>
      <c r="R45" s="180">
        <f>INDEX('[6]G3322 - GRUPO PILHAS ALK'!$B$7:$AE$27,13,MATCH(R$62,'[6]G3322 - GRUPO PILHAS ALK'!$B$7:$AE$7,0))</f>
        <v>0</v>
      </c>
      <c r="S45" s="181">
        <f>INDEX('[6]G3322 - GRUPO PILHAS ALK'!$B$7:$AE$27,13,MATCH(S$62,'[6]G3322 - GRUPO PILHAS ALK'!$B$7:$AE$7,0))</f>
        <v>0</v>
      </c>
      <c r="T45" s="189"/>
      <c r="U45" s="189"/>
    </row>
    <row r="46" spans="1:21" ht="16.5" hidden="1" customHeight="1">
      <c r="B46" s="754"/>
      <c r="C46" s="787"/>
      <c r="D46" s="789"/>
      <c r="E46" s="155"/>
      <c r="F46" s="379" t="s">
        <v>186</v>
      </c>
      <c r="G46" s="172"/>
      <c r="H46" s="173"/>
      <c r="I46" s="174"/>
      <c r="J46" s="175"/>
      <c r="K46" s="173"/>
      <c r="L46" s="174"/>
      <c r="M46" s="559"/>
      <c r="N46" s="172">
        <f>INDEX('[6]G3322 - GRUPO PILHAS ALK'!$B$7:$AE$27,13,MATCH(N$62,'[6]G3322 - GRUPO PILHAS ALK'!$B$7:$AE$7,0))</f>
        <v>1569</v>
      </c>
      <c r="O46" s="173">
        <f>INDEX('[6]G3322 - GRUPO PILHAS ALK'!$B$7:$AE$27,13,MATCH(O$62,'[6]G3322 - GRUPO PILHAS ALK'!$B$7:$AE$7,0))</f>
        <v>2596</v>
      </c>
      <c r="P46" s="174">
        <f>INDEX('[6]G3322 - GRUPO PILHAS ALK'!$B$7:$AE$27,13,MATCH(P$62,'[6]G3322 - GRUPO PILHAS ALK'!$B$7:$AE$7,0))</f>
        <v>1841</v>
      </c>
      <c r="Q46" s="175">
        <f>INDEX('[6]G3322 - GRUPO PILHAS ALK'!$B$7:$AE$27,13,MATCH(Q$62,'[6]G3322 - GRUPO PILHAS ALK'!$B$7:$AE$7,0))</f>
        <v>0</v>
      </c>
      <c r="R46" s="173">
        <f>INDEX('[6]G3322 - GRUPO PILHAS ALK'!$B$7:$AE$27,13,MATCH(R$62,'[6]G3322 - GRUPO PILHAS ALK'!$B$7:$AE$7,0))</f>
        <v>0</v>
      </c>
      <c r="S46" s="174">
        <f>INDEX('[6]G3322 - GRUPO PILHAS ALK'!$B$7:$AE$27,13,MATCH(S$62,'[6]G3322 - GRUPO PILHAS ALK'!$B$7:$AE$7,0))</f>
        <v>0</v>
      </c>
      <c r="T46" s="176"/>
      <c r="U46" s="176"/>
    </row>
    <row r="47" spans="1:21" ht="18.75" hidden="1" customHeight="1" thickBot="1">
      <c r="B47" s="754"/>
      <c r="C47" s="787"/>
      <c r="D47" s="790"/>
      <c r="E47" s="774" t="s">
        <v>187</v>
      </c>
      <c r="F47" s="775"/>
      <c r="G47" s="190"/>
      <c r="H47" s="191"/>
      <c r="I47" s="192"/>
      <c r="J47" s="726"/>
      <c r="K47" s="191"/>
      <c r="L47" s="192"/>
      <c r="M47" s="562"/>
      <c r="N47" s="190">
        <f>INDEX('[6]G3322 - GRUPO PILHAS ALK'!$B$7:$AE$27,13,MATCH(N$62,'[6]G3322 - GRUPO PILHAS ALK'!$B$7:$AE$7,0))</f>
        <v>1569</v>
      </c>
      <c r="O47" s="191">
        <f>INDEX('[6]G3322 - GRUPO PILHAS ALK'!$B$7:$AE$27,13,MATCH(O$62,'[6]G3322 - GRUPO PILHAS ALK'!$B$7:$AE$7,0))</f>
        <v>2596</v>
      </c>
      <c r="P47" s="194">
        <f>INDEX('[6]G3322 - GRUPO PILHAS ALK'!$B$7:$AE$27,13,MATCH(P$62,'[6]G3322 - GRUPO PILHAS ALK'!$B$7:$AE$7,0))</f>
        <v>1841</v>
      </c>
      <c r="Q47" s="190">
        <f>INDEX('[6]G3322 - GRUPO PILHAS ALK'!$B$7:$AE$27,13,MATCH(Q$62,'[6]G3322 - GRUPO PILHAS ALK'!$B$7:$AE$7,0))</f>
        <v>0</v>
      </c>
      <c r="R47" s="191">
        <f>INDEX('[6]G3322 - GRUPO PILHAS ALK'!$B$7:$AE$27,13,MATCH(R$62,'[6]G3322 - GRUPO PILHAS ALK'!$B$7:$AE$7,0))</f>
        <v>0</v>
      </c>
      <c r="S47" s="192">
        <f>INDEX('[6]G3322 - GRUPO PILHAS ALK'!$B$7:$AE$27,13,MATCH(S$62,'[6]G3322 - GRUPO PILHAS ALK'!$B$7:$AE$7,0))</f>
        <v>0</v>
      </c>
      <c r="T47" s="193"/>
      <c r="U47" s="193"/>
    </row>
    <row r="48" spans="1:21" ht="16.5" hidden="1" customHeight="1" thickTop="1">
      <c r="A48" s="35">
        <v>33</v>
      </c>
      <c r="B48" s="195"/>
      <c r="C48" s="787"/>
      <c r="D48" s="792" t="s">
        <v>188</v>
      </c>
      <c r="E48" s="793"/>
      <c r="F48" s="388" t="s">
        <v>189</v>
      </c>
      <c r="G48" s="196"/>
      <c r="H48" s="197"/>
      <c r="I48" s="198"/>
      <c r="J48" s="727"/>
      <c r="K48" s="197"/>
      <c r="L48" s="198"/>
      <c r="M48" s="559"/>
      <c r="N48" s="196">
        <f>INDEX('[6]G3322 - GRUPO PILHAS ALK'!$B$7:$AE$27,13,MATCH(N$62,'[6]G3322 - GRUPO PILHAS ALK'!$B$7:$AE$7,0))</f>
        <v>1569</v>
      </c>
      <c r="O48" s="197">
        <f>INDEX('[6]G3322 - GRUPO PILHAS ALK'!$B$7:$AE$27,13,MATCH(O$62,'[6]G3322 - GRUPO PILHAS ALK'!$B$7:$AE$7,0))</f>
        <v>2596</v>
      </c>
      <c r="P48" s="199">
        <f>INDEX('[6]G3322 - GRUPO PILHAS ALK'!$B$7:$AE$27,13,MATCH(P$62,'[6]G3322 - GRUPO PILHAS ALK'!$B$7:$AE$7,0))</f>
        <v>1841</v>
      </c>
      <c r="Q48" s="196">
        <f>INDEX('[6]G3322 - GRUPO PILHAS ALK'!$B$7:$AE$27,13,MATCH(Q$62,'[6]G3322 - GRUPO PILHAS ALK'!$B$7:$AE$7,0))</f>
        <v>0</v>
      </c>
      <c r="R48" s="197">
        <f>INDEX('[6]G3322 - GRUPO PILHAS ALK'!$B$7:$AE$27,13,MATCH(R$62,'[6]G3322 - GRUPO PILHAS ALK'!$B$7:$AE$7,0))</f>
        <v>0</v>
      </c>
      <c r="S48" s="198">
        <f>INDEX('[6]G3322 - GRUPO PILHAS ALK'!$B$7:$AE$27,13,MATCH(S$62,'[6]G3322 - GRUPO PILHAS ALK'!$B$7:$AE$7,0))</f>
        <v>0</v>
      </c>
      <c r="T48" s="176"/>
      <c r="U48" s="176"/>
    </row>
    <row r="49" spans="1:21" ht="16.5" hidden="1" customHeight="1">
      <c r="A49" s="35">
        <v>34</v>
      </c>
      <c r="B49" s="195"/>
      <c r="C49" s="787"/>
      <c r="D49" s="794"/>
      <c r="E49" s="795"/>
      <c r="F49" s="389" t="s">
        <v>190</v>
      </c>
      <c r="G49" s="196"/>
      <c r="H49" s="197"/>
      <c r="I49" s="198"/>
      <c r="J49" s="727"/>
      <c r="K49" s="197"/>
      <c r="L49" s="198"/>
      <c r="M49" s="559"/>
      <c r="N49" s="196">
        <f>INDEX('[6]G3322 - GRUPO PILHAS ALK'!$B$7:$AE$27,13,MATCH(N$62,'[6]G3322 - GRUPO PILHAS ALK'!$B$7:$AE$7,0))</f>
        <v>1569</v>
      </c>
      <c r="O49" s="197">
        <f>INDEX('[6]G3322 - GRUPO PILHAS ALK'!$B$7:$AE$27,13,MATCH(O$62,'[6]G3322 - GRUPO PILHAS ALK'!$B$7:$AE$7,0))</f>
        <v>2596</v>
      </c>
      <c r="P49" s="199">
        <f>INDEX('[6]G3322 - GRUPO PILHAS ALK'!$B$7:$AE$27,13,MATCH(P$62,'[6]G3322 - GRUPO PILHAS ALK'!$B$7:$AE$7,0))</f>
        <v>1841</v>
      </c>
      <c r="Q49" s="196">
        <f>INDEX('[6]G3322 - GRUPO PILHAS ALK'!$B$7:$AE$27,13,MATCH(Q$62,'[6]G3322 - GRUPO PILHAS ALK'!$B$7:$AE$7,0))</f>
        <v>0</v>
      </c>
      <c r="R49" s="197">
        <f>INDEX('[6]G3322 - GRUPO PILHAS ALK'!$B$7:$AE$27,13,MATCH(R$62,'[6]G3322 - GRUPO PILHAS ALK'!$B$7:$AE$7,0))</f>
        <v>0</v>
      </c>
      <c r="S49" s="198">
        <f>INDEX('[6]G3322 - GRUPO PILHAS ALK'!$B$7:$AE$27,13,MATCH(S$62,'[6]G3322 - GRUPO PILHAS ALK'!$B$7:$AE$7,0))</f>
        <v>0</v>
      </c>
      <c r="T49" s="176"/>
      <c r="U49" s="176"/>
    </row>
    <row r="50" spans="1:21" ht="16.5" hidden="1" customHeight="1">
      <c r="B50" s="195"/>
      <c r="C50" s="787"/>
      <c r="D50" s="390"/>
      <c r="E50" s="391"/>
      <c r="F50" s="379" t="s">
        <v>191</v>
      </c>
      <c r="G50" s="196"/>
      <c r="H50" s="197"/>
      <c r="I50" s="198"/>
      <c r="J50" s="727"/>
      <c r="K50" s="197"/>
      <c r="L50" s="198"/>
      <c r="M50" s="559"/>
      <c r="N50" s="196">
        <f>INDEX('[6]G3322 - GRUPO PILHAS ALK'!$B$7:$AE$27,13,MATCH(N$62,'[6]G3322 - GRUPO PILHAS ALK'!$B$7:$AE$7,0))</f>
        <v>1569</v>
      </c>
      <c r="O50" s="197">
        <f>INDEX('[6]G3322 - GRUPO PILHAS ALK'!$B$7:$AE$27,13,MATCH(O$62,'[6]G3322 - GRUPO PILHAS ALK'!$B$7:$AE$7,0))</f>
        <v>2596</v>
      </c>
      <c r="P50" s="199">
        <f>INDEX('[6]G3322 - GRUPO PILHAS ALK'!$B$7:$AE$27,13,MATCH(P$62,'[6]G3322 - GRUPO PILHAS ALK'!$B$7:$AE$7,0))</f>
        <v>1841</v>
      </c>
      <c r="Q50" s="196">
        <f>INDEX('[6]G3322 - GRUPO PILHAS ALK'!$B$7:$AE$27,13,MATCH(Q$62,'[6]G3322 - GRUPO PILHAS ALK'!$B$7:$AE$7,0))</f>
        <v>0</v>
      </c>
      <c r="R50" s="197">
        <f>INDEX('[6]G3322 - GRUPO PILHAS ALK'!$B$7:$AE$27,13,MATCH(R$62,'[6]G3322 - GRUPO PILHAS ALK'!$B$7:$AE$7,0))</f>
        <v>0</v>
      </c>
      <c r="S50" s="198">
        <f>INDEX('[6]G3322 - GRUPO PILHAS ALK'!$B$7:$AE$27,13,MATCH(S$62,'[6]G3322 - GRUPO PILHAS ALK'!$B$7:$AE$7,0))</f>
        <v>0</v>
      </c>
      <c r="T50" s="176"/>
      <c r="U50" s="176"/>
    </row>
    <row r="51" spans="1:21" ht="16.5" hidden="1" customHeight="1">
      <c r="A51" s="35">
        <v>34</v>
      </c>
      <c r="B51" s="195"/>
      <c r="C51" s="787"/>
      <c r="D51" s="200" t="s">
        <v>192</v>
      </c>
      <c r="E51" s="200"/>
      <c r="F51" s="130"/>
      <c r="G51" s="201"/>
      <c r="H51" s="202"/>
      <c r="I51" s="203"/>
      <c r="J51" s="728"/>
      <c r="K51" s="202"/>
      <c r="L51" s="203"/>
      <c r="M51" s="563"/>
      <c r="N51" s="201">
        <f>INDEX('[6]G3322 - GRUPO PILHAS ALK'!$B$7:$AE$27,13,MATCH(N$62,'[6]G3322 - GRUPO PILHAS ALK'!$B$7:$AE$7,0))</f>
        <v>1569</v>
      </c>
      <c r="O51" s="202">
        <f>INDEX('[6]G3322 - GRUPO PILHAS ALK'!$B$7:$AE$27,13,MATCH(O$62,'[6]G3322 - GRUPO PILHAS ALK'!$B$7:$AE$7,0))</f>
        <v>2596</v>
      </c>
      <c r="P51" s="205">
        <f>INDEX('[6]G3322 - GRUPO PILHAS ALK'!$B$7:$AE$27,13,MATCH(P$62,'[6]G3322 - GRUPO PILHAS ALK'!$B$7:$AE$7,0))</f>
        <v>1841</v>
      </c>
      <c r="Q51" s="201">
        <f>INDEX('[6]G3322 - GRUPO PILHAS ALK'!$B$7:$AE$27,13,MATCH(Q$62,'[6]G3322 - GRUPO PILHAS ALK'!$B$7:$AE$7,0))</f>
        <v>0</v>
      </c>
      <c r="R51" s="202">
        <f>INDEX('[6]G3322 - GRUPO PILHAS ALK'!$B$7:$AE$27,13,MATCH(R$62,'[6]G3322 - GRUPO PILHAS ALK'!$B$7:$AE$7,0))</f>
        <v>0</v>
      </c>
      <c r="S51" s="203">
        <f>INDEX('[6]G3322 - GRUPO PILHAS ALK'!$B$7:$AE$27,13,MATCH(S$62,'[6]G3322 - GRUPO PILHAS ALK'!$B$7:$AE$7,0))</f>
        <v>0</v>
      </c>
      <c r="T51" s="204"/>
      <c r="U51" s="204"/>
    </row>
    <row r="52" spans="1:21" ht="18.75" hidden="1" customHeight="1" thickBot="1">
      <c r="B52" s="195"/>
      <c r="C52" s="757"/>
      <c r="D52" s="776" t="s">
        <v>193</v>
      </c>
      <c r="E52" s="776"/>
      <c r="F52" s="777"/>
      <c r="G52" s="206"/>
      <c r="H52" s="207"/>
      <c r="I52" s="208"/>
      <c r="J52" s="729"/>
      <c r="K52" s="207"/>
      <c r="L52" s="208"/>
      <c r="M52" s="564"/>
      <c r="N52" s="206">
        <f>INDEX('[6]G3322 - GRUPO PILHAS ALK'!$B$7:$AE$27,13,MATCH(N$62,'[6]G3322 - GRUPO PILHAS ALK'!$B$7:$AE$7,0))</f>
        <v>1569</v>
      </c>
      <c r="O52" s="207">
        <f>INDEX('[6]G3322 - GRUPO PILHAS ALK'!$B$7:$AE$27,13,MATCH(O$62,'[6]G3322 - GRUPO PILHAS ALK'!$B$7:$AE$7,0))</f>
        <v>2596</v>
      </c>
      <c r="P52" s="210">
        <f>INDEX('[6]G3322 - GRUPO PILHAS ALK'!$B$7:$AE$27,13,MATCH(P$62,'[6]G3322 - GRUPO PILHAS ALK'!$B$7:$AE$7,0))</f>
        <v>1841</v>
      </c>
      <c r="Q52" s="206">
        <f>INDEX('[6]G3322 - GRUPO PILHAS ALK'!$B$7:$AE$27,13,MATCH(Q$62,'[6]G3322 - GRUPO PILHAS ALK'!$B$7:$AE$7,0))</f>
        <v>0</v>
      </c>
      <c r="R52" s="207">
        <f>INDEX('[6]G3322 - GRUPO PILHAS ALK'!$B$7:$AE$27,13,MATCH(R$62,'[6]G3322 - GRUPO PILHAS ALK'!$B$7:$AE$7,0))</f>
        <v>0</v>
      </c>
      <c r="S52" s="208">
        <f>INDEX('[6]G3322 - GRUPO PILHAS ALK'!$B$7:$AE$27,13,MATCH(S$62,'[6]G3322 - GRUPO PILHAS ALK'!$B$7:$AE$7,0))</f>
        <v>0</v>
      </c>
      <c r="T52" s="209">
        <f>SUM(T41:T41)</f>
        <v>6006</v>
      </c>
      <c r="U52" s="209">
        <f>SUM(U41:U41)</f>
        <v>6006</v>
      </c>
    </row>
    <row r="53" spans="1:21" ht="18.75" hidden="1" customHeight="1">
      <c r="A53" s="35">
        <v>35</v>
      </c>
      <c r="B53" s="195"/>
      <c r="C53" s="786" t="s">
        <v>194</v>
      </c>
      <c r="D53" s="364" t="s">
        <v>195</v>
      </c>
      <c r="E53" s="392"/>
      <c r="F53" s="57"/>
      <c r="G53" s="211"/>
      <c r="H53" s="212"/>
      <c r="I53" s="213"/>
      <c r="J53" s="730"/>
      <c r="K53" s="212"/>
      <c r="L53" s="213"/>
      <c r="M53" s="565"/>
      <c r="N53" s="215">
        <f>INDEX('[6]G3322 - GRUPO PILHAS ALK'!$B$7:$AE$27,13,MATCH(N$62,'[6]G3322 - GRUPO PILHAS ALK'!$B$7:$AE$7,0))</f>
        <v>1569</v>
      </c>
      <c r="O53" s="212">
        <f>INDEX('[6]G3322 - GRUPO PILHAS ALK'!$B$7:$AE$27,13,MATCH(O$62,'[6]G3322 - GRUPO PILHAS ALK'!$B$7:$AE$7,0))</f>
        <v>2596</v>
      </c>
      <c r="P53" s="216">
        <f>INDEX('[6]G3322 - GRUPO PILHAS ALK'!$B$7:$AE$27,13,MATCH(P$62,'[6]G3322 - GRUPO PILHAS ALK'!$B$7:$AE$7,0))</f>
        <v>1841</v>
      </c>
      <c r="Q53" s="215">
        <f>INDEX('[6]G3322 - GRUPO PILHAS ALK'!$B$7:$AE$27,13,MATCH(Q$62,'[6]G3322 - GRUPO PILHAS ALK'!$B$7:$AE$7,0))</f>
        <v>0</v>
      </c>
      <c r="R53" s="212">
        <f>INDEX('[6]G3322 - GRUPO PILHAS ALK'!$B$7:$AE$27,13,MATCH(R$62,'[6]G3322 - GRUPO PILHAS ALK'!$B$7:$AE$7,0))</f>
        <v>0</v>
      </c>
      <c r="S53" s="213">
        <f>INDEX('[6]G3322 - GRUPO PILHAS ALK'!$B$7:$AE$27,13,MATCH(S$62,'[6]G3322 - GRUPO PILHAS ALK'!$B$7:$AE$7,0))</f>
        <v>0</v>
      </c>
      <c r="T53" s="214">
        <f>SUM(N53:S53)</f>
        <v>6006</v>
      </c>
      <c r="U53" s="214">
        <f>M53+T53</f>
        <v>6006</v>
      </c>
    </row>
    <row r="54" spans="1:21" ht="18.75" hidden="1" customHeight="1">
      <c r="A54" s="35">
        <v>36</v>
      </c>
      <c r="B54" s="195"/>
      <c r="C54" s="787"/>
      <c r="D54" s="365" t="s">
        <v>196</v>
      </c>
      <c r="E54" s="393"/>
      <c r="F54" s="60"/>
      <c r="G54" s="217"/>
      <c r="H54" s="218"/>
      <c r="I54" s="219"/>
      <c r="J54" s="731"/>
      <c r="K54" s="218"/>
      <c r="L54" s="219"/>
      <c r="M54" s="566"/>
      <c r="N54" s="221">
        <f>INDEX('[6]G3322 - GRUPO PILHAS ALK'!$B$7:$AE$27,13,MATCH(N$62,'[6]G3322 - GRUPO PILHAS ALK'!$B$7:$AE$7,0))</f>
        <v>1569</v>
      </c>
      <c r="O54" s="218">
        <f>INDEX('[6]G3322 - GRUPO PILHAS ALK'!$B$7:$AE$27,13,MATCH(O$62,'[6]G3322 - GRUPO PILHAS ALK'!$B$7:$AE$7,0))</f>
        <v>2596</v>
      </c>
      <c r="P54" s="222">
        <f>INDEX('[6]G3322 - GRUPO PILHAS ALK'!$B$7:$AE$27,13,MATCH(P$62,'[6]G3322 - GRUPO PILHAS ALK'!$B$7:$AE$7,0))</f>
        <v>1841</v>
      </c>
      <c r="Q54" s="221">
        <f>INDEX('[6]G3322 - GRUPO PILHAS ALK'!$B$7:$AE$27,13,MATCH(Q$62,'[6]G3322 - GRUPO PILHAS ALK'!$B$7:$AE$7,0))</f>
        <v>0</v>
      </c>
      <c r="R54" s="218">
        <f>INDEX('[6]G3322 - GRUPO PILHAS ALK'!$B$7:$AE$27,13,MATCH(R$62,'[6]G3322 - GRUPO PILHAS ALK'!$B$7:$AE$7,0))</f>
        <v>0</v>
      </c>
      <c r="S54" s="219">
        <f>INDEX('[6]G3322 - GRUPO PILHAS ALK'!$B$7:$AE$27,13,MATCH(S$62,'[6]G3322 - GRUPO PILHAS ALK'!$B$7:$AE$7,0))</f>
        <v>0</v>
      </c>
      <c r="T54" s="220">
        <f>SUM(N54:S54)</f>
        <v>6006</v>
      </c>
      <c r="U54" s="220">
        <f>M54+T54</f>
        <v>6006</v>
      </c>
    </row>
    <row r="55" spans="1:21" ht="18.75" hidden="1" customHeight="1" thickBot="1">
      <c r="B55" s="195"/>
      <c r="C55" s="757"/>
      <c r="D55" s="677"/>
      <c r="E55" s="677"/>
      <c r="F55" s="394" t="s">
        <v>197</v>
      </c>
      <c r="G55" s="223"/>
      <c r="H55" s="224"/>
      <c r="I55" s="225"/>
      <c r="J55" s="732"/>
      <c r="K55" s="224"/>
      <c r="L55" s="225"/>
      <c r="M55" s="567"/>
      <c r="N55" s="223">
        <f>INDEX('[6]G3322 - GRUPO PILHAS ALK'!$B$7:$AE$27,13,MATCH(N$62,'[6]G3322 - GRUPO PILHAS ALK'!$B$7:$AE$7,0))</f>
        <v>1569</v>
      </c>
      <c r="O55" s="224">
        <f>INDEX('[6]G3322 - GRUPO PILHAS ALK'!$B$7:$AE$27,13,MATCH(O$62,'[6]G3322 - GRUPO PILHAS ALK'!$B$7:$AE$7,0))</f>
        <v>2596</v>
      </c>
      <c r="P55" s="227">
        <f>INDEX('[6]G3322 - GRUPO PILHAS ALK'!$B$7:$AE$27,13,MATCH(P$62,'[6]G3322 - GRUPO PILHAS ALK'!$B$7:$AE$7,0))</f>
        <v>1841</v>
      </c>
      <c r="Q55" s="223">
        <f>INDEX('[6]G3322 - GRUPO PILHAS ALK'!$B$7:$AE$27,13,MATCH(Q$62,'[6]G3322 - GRUPO PILHAS ALK'!$B$7:$AE$7,0))</f>
        <v>0</v>
      </c>
      <c r="R55" s="224">
        <f>INDEX('[6]G3322 - GRUPO PILHAS ALK'!$B$7:$AE$27,13,MATCH(R$62,'[6]G3322 - GRUPO PILHAS ALK'!$B$7:$AE$7,0))</f>
        <v>0</v>
      </c>
      <c r="S55" s="225">
        <f>INDEX('[6]G3322 - GRUPO PILHAS ALK'!$B$7:$AE$27,13,MATCH(S$62,'[6]G3322 - GRUPO PILHAS ALK'!$B$7:$AE$7,0))</f>
        <v>0</v>
      </c>
      <c r="T55" s="226">
        <f>SUM(T53:T54)</f>
        <v>12012</v>
      </c>
      <c r="U55" s="226">
        <f>SUM(U53:U54)</f>
        <v>12012</v>
      </c>
    </row>
    <row r="56" spans="1:21" ht="18.75" hidden="1" customHeight="1" thickBot="1">
      <c r="B56" s="228"/>
      <c r="C56" s="766" t="s">
        <v>198</v>
      </c>
      <c r="D56" s="766"/>
      <c r="E56" s="766"/>
      <c r="F56" s="767"/>
      <c r="G56" s="229"/>
      <c r="H56" s="230"/>
      <c r="I56" s="231"/>
      <c r="J56" s="733"/>
      <c r="K56" s="230"/>
      <c r="L56" s="231"/>
      <c r="M56" s="568"/>
      <c r="N56" s="233">
        <f>INDEX('[6]G3322 - GRUPO PILHAS ALK'!$B$7:$AE$27,13,MATCH(N$62,'[6]G3322 - GRUPO PILHAS ALK'!$B$7:$AE$7,0))</f>
        <v>1569</v>
      </c>
      <c r="O56" s="230">
        <f>INDEX('[6]G3322 - GRUPO PILHAS ALK'!$B$7:$AE$27,13,MATCH(O$62,'[6]G3322 - GRUPO PILHAS ALK'!$B$7:$AE$7,0))</f>
        <v>2596</v>
      </c>
      <c r="P56" s="234">
        <f>INDEX('[6]G3322 - GRUPO PILHAS ALK'!$B$7:$AE$27,13,MATCH(P$62,'[6]G3322 - GRUPO PILHAS ALK'!$B$7:$AE$7,0))</f>
        <v>1841</v>
      </c>
      <c r="Q56" s="233">
        <f>INDEX('[6]G3322 - GRUPO PILHAS ALK'!$B$7:$AE$27,13,MATCH(Q$62,'[6]G3322 - GRUPO PILHAS ALK'!$B$7:$AE$7,0))</f>
        <v>0</v>
      </c>
      <c r="R56" s="230">
        <f>INDEX('[6]G3322 - GRUPO PILHAS ALK'!$B$7:$AE$27,13,MATCH(R$62,'[6]G3322 - GRUPO PILHAS ALK'!$B$7:$AE$7,0))</f>
        <v>0</v>
      </c>
      <c r="S56" s="231">
        <f>INDEX('[6]G3322 - GRUPO PILHAS ALK'!$B$7:$AE$27,13,MATCH(S$62,'[6]G3322 - GRUPO PILHAS ALK'!$B$7:$AE$7,0))</f>
        <v>0</v>
      </c>
      <c r="T56" s="232">
        <f>T34+T52+T55</f>
        <v>18018</v>
      </c>
      <c r="U56" s="232">
        <f>U34+U52+U55</f>
        <v>18018</v>
      </c>
    </row>
    <row r="57" spans="1:21" ht="21" customHeight="1" thickBot="1">
      <c r="B57" s="235"/>
      <c r="C57" s="778" t="s">
        <v>115</v>
      </c>
      <c r="D57" s="779"/>
      <c r="E57" s="779"/>
      <c r="F57" s="780"/>
      <c r="G57" s="734"/>
      <c r="H57" s="735"/>
      <c r="I57" s="736"/>
      <c r="J57" s="736"/>
      <c r="K57" s="736"/>
      <c r="L57" s="736"/>
      <c r="M57" s="569">
        <f>SUM(G57:L57)</f>
        <v>0</v>
      </c>
      <c r="N57" s="736"/>
      <c r="O57" s="237"/>
      <c r="P57" s="237"/>
      <c r="Q57" s="737"/>
      <c r="R57" s="238"/>
      <c r="S57" s="239"/>
      <c r="T57" s="236">
        <f>SUM(N57:S57)</f>
        <v>0</v>
      </c>
      <c r="U57" s="236">
        <f>M57+T57</f>
        <v>0</v>
      </c>
    </row>
    <row r="58" spans="1:21" ht="9" customHeight="1"/>
    <row r="59" spans="1:21" ht="19.5" customHeight="1">
      <c r="E59" s="796" t="s">
        <v>116</v>
      </c>
      <c r="F59" s="797"/>
      <c r="G59" s="798"/>
      <c r="U59" s="738"/>
    </row>
    <row r="60" spans="1:21" ht="7.5" customHeight="1"/>
    <row r="61" spans="1:21" ht="19.5" customHeight="1">
      <c r="G61" s="36" t="s">
        <v>199</v>
      </c>
      <c r="H61" s="36" t="s">
        <v>200</v>
      </c>
      <c r="I61" s="302" t="s">
        <v>201</v>
      </c>
      <c r="J61" s="302" t="s">
        <v>202</v>
      </c>
      <c r="K61" s="36" t="s">
        <v>203</v>
      </c>
      <c r="L61" s="752" t="s">
        <v>204</v>
      </c>
      <c r="N61" s="36" t="s">
        <v>205</v>
      </c>
      <c r="O61" s="752" t="s">
        <v>206</v>
      </c>
      <c r="P61" s="752" t="s">
        <v>207</v>
      </c>
      <c r="Q61" s="36" t="s">
        <v>208</v>
      </c>
      <c r="R61" s="36" t="s">
        <v>209</v>
      </c>
      <c r="S61" s="36" t="s">
        <v>210</v>
      </c>
    </row>
    <row r="62" spans="1:21" ht="19.5" customHeight="1">
      <c r="G62" s="750" t="s">
        <v>199</v>
      </c>
      <c r="H62" s="750" t="s">
        <v>200</v>
      </c>
      <c r="I62" s="750" t="s">
        <v>201</v>
      </c>
      <c r="J62" s="750" t="s">
        <v>202</v>
      </c>
      <c r="K62" s="750" t="s">
        <v>203</v>
      </c>
      <c r="L62" s="750" t="s">
        <v>204</v>
      </c>
      <c r="M62" s="750"/>
      <c r="N62" s="750" t="s">
        <v>205</v>
      </c>
      <c r="O62" s="750" t="s">
        <v>206</v>
      </c>
      <c r="P62" s="750" t="s">
        <v>207</v>
      </c>
      <c r="Q62" s="750" t="s">
        <v>208</v>
      </c>
      <c r="R62" s="750" t="s">
        <v>209</v>
      </c>
      <c r="S62" s="750" t="s">
        <v>210</v>
      </c>
    </row>
    <row r="63" spans="1:21">
      <c r="G63" s="471"/>
      <c r="H63" s="471"/>
      <c r="I63" s="471"/>
      <c r="J63" s="471"/>
      <c r="K63" s="471"/>
      <c r="L63" s="471"/>
      <c r="M63" s="739"/>
      <c r="N63" s="471"/>
      <c r="O63" s="471"/>
      <c r="P63" s="471"/>
      <c r="Q63" s="471"/>
      <c r="R63" s="471"/>
      <c r="S63" s="471"/>
    </row>
    <row r="64" spans="1:21"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</row>
  </sheetData>
  <sheetProtection formatCells="0" selectLockedCell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tabSelected="1" showOutlineSymbols="0" topLeftCell="AG13" zoomScale="80" zoomScaleNormal="80" zoomScaleSheetLayoutView="30" workbookViewId="0">
      <selection activeCell="G11" sqref="G11"/>
    </sheetView>
  </sheetViews>
  <sheetFormatPr defaultRowHeight="14.25" outlineLevelCol="1"/>
  <cols>
    <col min="1" max="1" width="9.125" style="249" customWidth="1"/>
    <col min="2" max="4" width="3.625" style="249" customWidth="1"/>
    <col min="5" max="5" width="50.625" style="249" customWidth="1"/>
    <col min="6" max="6" width="17.5" style="249" hidden="1" customWidth="1"/>
    <col min="7" max="7" width="16.625" style="249" customWidth="1"/>
    <col min="8" max="13" width="12.375" style="249" customWidth="1" outlineLevel="1"/>
    <col min="14" max="14" width="12.625" style="249" bestFit="1" customWidth="1" outlineLevel="1"/>
    <col min="15" max="19" width="12.375" style="249" customWidth="1" outlineLevel="1"/>
    <col min="20" max="21" width="17.5" style="249" customWidth="1" outlineLevel="1"/>
    <col min="22" max="22" width="9.125" style="249" customWidth="1"/>
    <col min="23" max="25" width="3.625" style="249" customWidth="1"/>
    <col min="26" max="26" width="41.75" style="249" customWidth="1"/>
    <col min="27" max="38" width="10.75" style="249" customWidth="1" outlineLevel="1"/>
    <col min="39" max="42" width="13.25" style="249" customWidth="1"/>
    <col min="43" max="44" width="14.875" style="249" bestFit="1" customWidth="1"/>
    <col min="45" max="45" width="29" style="249" customWidth="1"/>
    <col min="46" max="46" width="11.125" style="249" bestFit="1" customWidth="1"/>
    <col min="47" max="16384" width="9" style="249"/>
  </cols>
  <sheetData>
    <row r="1" spans="1:49" ht="15" customHeight="1">
      <c r="L1" s="1"/>
      <c r="M1" s="1"/>
      <c r="N1" s="1"/>
      <c r="O1" s="1"/>
      <c r="P1" s="1"/>
      <c r="Q1" s="1"/>
      <c r="R1" s="885">
        <f ca="1">TODAY()</f>
        <v>44596</v>
      </c>
      <c r="S1" s="88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885">
        <f ca="1">R1</f>
        <v>44596</v>
      </c>
      <c r="AP1" s="886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886"/>
      <c r="S2" s="886"/>
      <c r="T2" s="1"/>
      <c r="U2" s="25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886"/>
      <c r="AP2" s="886"/>
      <c r="AQ2" s="251"/>
      <c r="AR2" s="252"/>
    </row>
    <row r="3" spans="1:49" ht="24.95" customHeight="1">
      <c r="F3" s="253"/>
      <c r="G3" s="254">
        <v>2022</v>
      </c>
      <c r="H3" s="887" t="s">
        <v>29</v>
      </c>
      <c r="I3" s="887"/>
      <c r="J3" s="887"/>
      <c r="K3" s="887"/>
      <c r="L3" s="255"/>
      <c r="M3" s="1"/>
      <c r="N3" s="892" t="s">
        <v>142</v>
      </c>
      <c r="O3" s="892"/>
      <c r="P3" s="890" t="s">
        <v>171</v>
      </c>
      <c r="Q3" s="890"/>
      <c r="R3" s="890"/>
      <c r="S3" s="1"/>
      <c r="T3" s="1"/>
      <c r="U3" s="1"/>
      <c r="V3" s="1"/>
      <c r="W3" s="1"/>
      <c r="X3" s="1"/>
      <c r="Y3" s="1"/>
      <c r="Z3" s="1"/>
      <c r="AA3" s="255"/>
      <c r="AB3" s="255"/>
      <c r="AC3" s="256">
        <f>G3</f>
        <v>2022</v>
      </c>
      <c r="AD3" s="893" t="s">
        <v>29</v>
      </c>
      <c r="AE3" s="893"/>
      <c r="AF3" s="893"/>
      <c r="AG3" s="893"/>
      <c r="AH3" s="255"/>
      <c r="AI3" s="1"/>
      <c r="AJ3" s="1"/>
      <c r="AK3" s="892" t="s">
        <v>142</v>
      </c>
      <c r="AL3" s="892"/>
      <c r="AM3" s="890" t="str">
        <f>P3</f>
        <v>PANABRAS - ALKALINE</v>
      </c>
      <c r="AN3" s="890"/>
      <c r="AO3" s="890"/>
      <c r="AP3" s="1"/>
      <c r="AQ3" s="1"/>
      <c r="AR3" s="257"/>
    </row>
    <row r="4" spans="1:49" ht="24.95" customHeight="1">
      <c r="L4" s="1"/>
      <c r="M4" s="1"/>
      <c r="N4" s="888" t="s">
        <v>143</v>
      </c>
      <c r="O4" s="888"/>
      <c r="P4" s="891" t="s">
        <v>141</v>
      </c>
      <c r="Q4" s="891"/>
      <c r="R4" s="89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888" t="s">
        <v>143</v>
      </c>
      <c r="AL4" s="888"/>
      <c r="AM4" s="891" t="str">
        <f>P4</f>
        <v>Dry battery division</v>
      </c>
      <c r="AN4" s="891"/>
      <c r="AO4" s="891"/>
      <c r="AP4" s="1"/>
      <c r="AQ4" s="1"/>
      <c r="AR4" s="1"/>
    </row>
    <row r="5" spans="1:49" ht="24.95" customHeight="1">
      <c r="E5" s="433"/>
      <c r="F5" s="258"/>
      <c r="G5" s="258"/>
      <c r="H5" s="305"/>
      <c r="I5" s="800" t="s">
        <v>30</v>
      </c>
      <c r="J5" s="800"/>
      <c r="L5" s="1"/>
      <c r="M5" s="1"/>
      <c r="N5" s="888" t="s">
        <v>144</v>
      </c>
      <c r="O5" s="888"/>
      <c r="P5" s="891" t="s">
        <v>148</v>
      </c>
      <c r="Q5" s="891"/>
      <c r="R5" s="89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894" t="s">
        <v>31</v>
      </c>
      <c r="AF5" s="894"/>
      <c r="AG5" s="1"/>
      <c r="AH5" s="1"/>
      <c r="AI5" s="1"/>
      <c r="AJ5" s="1"/>
      <c r="AK5" s="888" t="s">
        <v>144</v>
      </c>
      <c r="AL5" s="888"/>
      <c r="AM5" s="891" t="str">
        <f>P5</f>
        <v>Mamoru Saito</v>
      </c>
      <c r="AN5" s="891"/>
      <c r="AO5" s="891"/>
      <c r="AP5" s="1"/>
      <c r="AQ5" s="1"/>
      <c r="AR5" s="1"/>
    </row>
    <row r="6" spans="1:49" ht="24.95" customHeight="1">
      <c r="L6" s="1"/>
      <c r="M6" s="1"/>
      <c r="N6" s="888" t="s">
        <v>145</v>
      </c>
      <c r="O6" s="888"/>
      <c r="P6" s="896" t="s">
        <v>149</v>
      </c>
      <c r="Q6" s="891"/>
      <c r="R6" s="89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888" t="s">
        <v>145</v>
      </c>
      <c r="AL6" s="888"/>
      <c r="AM6" s="891" t="str">
        <f>P6</f>
        <v>+55-12-</v>
      </c>
      <c r="AN6" s="891"/>
      <c r="AO6" s="891"/>
      <c r="AP6" s="1"/>
      <c r="AQ6" s="1"/>
      <c r="AR6" s="1"/>
    </row>
    <row r="7" spans="1:49" ht="24.95" customHeight="1">
      <c r="L7" s="1"/>
      <c r="M7" s="1"/>
      <c r="N7" s="889" t="s">
        <v>146</v>
      </c>
      <c r="O7" s="889"/>
      <c r="P7" s="897" t="s">
        <v>150</v>
      </c>
      <c r="Q7" s="895"/>
      <c r="R7" s="895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889" t="s">
        <v>146</v>
      </c>
      <c r="AL7" s="889"/>
      <c r="AM7" s="895" t="str">
        <f>P7</f>
        <v>saito.mamoru@br.panasonic.com</v>
      </c>
      <c r="AN7" s="895"/>
      <c r="AO7" s="895"/>
      <c r="AP7" s="1"/>
      <c r="AQ7" s="1"/>
      <c r="AR7" s="1"/>
    </row>
    <row r="8" spans="1:49" ht="27.75" customHeight="1" thickBot="1">
      <c r="A8" s="18" t="s">
        <v>24</v>
      </c>
      <c r="B8" s="18"/>
      <c r="C8" s="18"/>
      <c r="D8" s="18"/>
      <c r="E8" s="358" t="s">
        <v>140</v>
      </c>
      <c r="F8" s="6"/>
      <c r="G8" s="6"/>
      <c r="H8" s="6"/>
      <c r="I8" s="6"/>
      <c r="J8" s="6"/>
      <c r="K8" s="6"/>
      <c r="L8" s="359"/>
      <c r="M8" s="359"/>
      <c r="N8" s="359"/>
      <c r="O8" s="359"/>
      <c r="P8" s="360"/>
      <c r="Q8" s="360"/>
      <c r="R8" s="361"/>
      <c r="S8" s="359"/>
      <c r="T8" s="359"/>
      <c r="U8" s="359"/>
      <c r="V8" s="362" t="s">
        <v>32</v>
      </c>
      <c r="W8" s="362"/>
      <c r="X8" s="362"/>
      <c r="Y8" s="362"/>
      <c r="Z8" s="358" t="str">
        <f>E8</f>
        <v>　1000BRL</v>
      </c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359"/>
      <c r="AO8" s="359"/>
      <c r="AP8" s="359"/>
      <c r="AQ8" s="359"/>
      <c r="AR8" s="359"/>
    </row>
    <row r="9" spans="1:49" ht="20.100000000000001" customHeight="1">
      <c r="A9" s="10" t="s">
        <v>25</v>
      </c>
      <c r="B9" s="26"/>
      <c r="C9" s="26"/>
      <c r="D9" s="26"/>
      <c r="E9" s="26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/>
      <c r="T9" s="260"/>
      <c r="U9" s="261"/>
      <c r="V9" s="10" t="s">
        <v>25</v>
      </c>
      <c r="W9" s="26"/>
      <c r="X9" s="26"/>
      <c r="Y9" s="26"/>
      <c r="Z9" s="26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60"/>
      <c r="AO9" s="259"/>
      <c r="AP9" s="259"/>
      <c r="AQ9" s="259"/>
      <c r="AR9" s="261"/>
      <c r="AS9" s="454"/>
      <c r="AT9" s="455" t="s">
        <v>157</v>
      </c>
      <c r="AU9" s="454"/>
    </row>
    <row r="10" spans="1:49" s="16" customFormat="1" ht="21.95" customHeight="1">
      <c r="A10" s="14"/>
      <c r="B10" s="15"/>
      <c r="C10" s="15"/>
      <c r="D10" s="15"/>
      <c r="E10" s="15"/>
      <c r="F10" s="11"/>
      <c r="G10" s="440" t="s">
        <v>179</v>
      </c>
      <c r="H10" s="12" t="s">
        <v>179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26" t="str">
        <f>H10</f>
        <v>FY2021</v>
      </c>
      <c r="AB10" s="12"/>
      <c r="AC10" s="12"/>
      <c r="AD10" s="12"/>
      <c r="AE10" s="12"/>
      <c r="AF10" s="12"/>
      <c r="AG10" s="530" t="str">
        <f>"FY"&amp;RIGHT(AA10,4)+1</f>
        <v>FY2022</v>
      </c>
      <c r="AH10" s="531"/>
      <c r="AI10" s="12"/>
      <c r="AJ10" s="12"/>
      <c r="AK10" s="12"/>
      <c r="AL10" s="12"/>
      <c r="AM10" s="526" t="str">
        <f>"Resutl "&amp;AA10</f>
        <v>Resutl FY2021</v>
      </c>
      <c r="AN10" s="12"/>
      <c r="AO10" s="12"/>
      <c r="AP10" s="12"/>
      <c r="AQ10" s="440" t="str">
        <f>"FY"&amp;RIGHT(AG10,4)</f>
        <v>FY2022</v>
      </c>
      <c r="AR10" s="444" t="str">
        <f>"FY"&amp;RIGHT(AQ10,4)+1</f>
        <v>FY2023</v>
      </c>
      <c r="AS10" s="455"/>
      <c r="AT10" s="455">
        <v>2016</v>
      </c>
      <c r="AU10" s="455">
        <v>2017</v>
      </c>
      <c r="AV10" s="455">
        <v>2018</v>
      </c>
      <c r="AW10" s="455"/>
    </row>
    <row r="11" spans="1:49" s="16" customFormat="1" ht="21.95" customHeight="1">
      <c r="A11" s="17"/>
      <c r="B11" s="18"/>
      <c r="C11" s="18"/>
      <c r="D11" s="18"/>
      <c r="E11" s="18"/>
      <c r="F11" s="262"/>
      <c r="G11" s="441" t="s">
        <v>147</v>
      </c>
      <c r="H11" s="826" t="s">
        <v>0</v>
      </c>
      <c r="I11" s="898"/>
      <c r="J11" s="899">
        <v>5</v>
      </c>
      <c r="K11" s="900"/>
      <c r="L11" s="899">
        <v>6</v>
      </c>
      <c r="M11" s="900"/>
      <c r="N11" s="899">
        <v>7</v>
      </c>
      <c r="O11" s="900"/>
      <c r="P11" s="899">
        <v>8</v>
      </c>
      <c r="Q11" s="900"/>
      <c r="R11" s="899">
        <v>9</v>
      </c>
      <c r="S11" s="901"/>
      <c r="T11" s="902" t="s">
        <v>23</v>
      </c>
      <c r="U11" s="903"/>
      <c r="V11" s="17"/>
      <c r="W11" s="18"/>
      <c r="X11" s="18"/>
      <c r="Y11" s="18"/>
      <c r="Z11" s="18"/>
      <c r="AA11" s="902">
        <v>10</v>
      </c>
      <c r="AB11" s="900"/>
      <c r="AC11" s="899">
        <v>11</v>
      </c>
      <c r="AD11" s="900"/>
      <c r="AE11" s="899">
        <v>12</v>
      </c>
      <c r="AF11" s="900"/>
      <c r="AG11" s="899">
        <v>1</v>
      </c>
      <c r="AH11" s="900"/>
      <c r="AI11" s="899">
        <v>2</v>
      </c>
      <c r="AJ11" s="900"/>
      <c r="AK11" s="899">
        <v>3</v>
      </c>
      <c r="AL11" s="901"/>
      <c r="AM11" s="826" t="s">
        <v>1</v>
      </c>
      <c r="AN11" s="904"/>
      <c r="AO11" s="826" t="s">
        <v>2</v>
      </c>
      <c r="AP11" s="846"/>
      <c r="AQ11" s="445" t="s">
        <v>33</v>
      </c>
      <c r="AR11" s="446" t="s">
        <v>33</v>
      </c>
      <c r="AS11" s="455" t="s">
        <v>163</v>
      </c>
      <c r="AT11" s="455">
        <v>6.49</v>
      </c>
      <c r="AU11" s="455">
        <v>4.9000000000000004</v>
      </c>
      <c r="AV11" s="455">
        <v>4.4000000000000004</v>
      </c>
      <c r="AW11" s="455"/>
    </row>
    <row r="12" spans="1:49" s="16" customFormat="1" ht="21.95" customHeight="1">
      <c r="A12" s="19"/>
      <c r="B12" s="20"/>
      <c r="C12" s="20"/>
      <c r="D12" s="20"/>
      <c r="E12" s="20"/>
      <c r="F12" s="263"/>
      <c r="G12" s="263"/>
      <c r="H12" s="264" t="s">
        <v>28</v>
      </c>
      <c r="I12" s="265" t="s">
        <v>27</v>
      </c>
      <c r="J12" s="265" t="s">
        <v>28</v>
      </c>
      <c r="K12" s="265" t="s">
        <v>27</v>
      </c>
      <c r="L12" s="265" t="s">
        <v>28</v>
      </c>
      <c r="M12" s="265" t="s">
        <v>27</v>
      </c>
      <c r="N12" s="265" t="s">
        <v>28</v>
      </c>
      <c r="O12" s="265" t="s">
        <v>27</v>
      </c>
      <c r="P12" s="265" t="s">
        <v>28</v>
      </c>
      <c r="Q12" s="265" t="s">
        <v>27</v>
      </c>
      <c r="R12" s="265" t="s">
        <v>28</v>
      </c>
      <c r="S12" s="265" t="s">
        <v>27</v>
      </c>
      <c r="T12" s="266" t="s">
        <v>28</v>
      </c>
      <c r="U12" s="267" t="s">
        <v>27</v>
      </c>
      <c r="V12" s="19"/>
      <c r="W12" s="20"/>
      <c r="X12" s="20"/>
      <c r="Y12" s="20"/>
      <c r="Z12" s="20"/>
      <c r="AA12" s="268" t="s">
        <v>28</v>
      </c>
      <c r="AB12" s="265" t="s">
        <v>27</v>
      </c>
      <c r="AC12" s="265" t="s">
        <v>28</v>
      </c>
      <c r="AD12" s="265" t="s">
        <v>27</v>
      </c>
      <c r="AE12" s="265" t="s">
        <v>28</v>
      </c>
      <c r="AF12" s="265" t="s">
        <v>27</v>
      </c>
      <c r="AG12" s="265" t="s">
        <v>28</v>
      </c>
      <c r="AH12" s="265" t="s">
        <v>27</v>
      </c>
      <c r="AI12" s="265" t="s">
        <v>28</v>
      </c>
      <c r="AJ12" s="265" t="s">
        <v>27</v>
      </c>
      <c r="AK12" s="265" t="s">
        <v>28</v>
      </c>
      <c r="AL12" s="265" t="s">
        <v>27</v>
      </c>
      <c r="AM12" s="266" t="s">
        <v>28</v>
      </c>
      <c r="AN12" s="666" t="s">
        <v>27</v>
      </c>
      <c r="AO12" s="266" t="s">
        <v>28</v>
      </c>
      <c r="AP12" s="673" t="s">
        <v>27</v>
      </c>
      <c r="AQ12" s="447"/>
      <c r="AR12" s="448"/>
      <c r="AS12" s="455"/>
      <c r="AT12" s="455"/>
      <c r="AU12" s="455"/>
      <c r="AV12" s="455"/>
      <c r="AW12" s="455"/>
    </row>
    <row r="13" spans="1:49" s="270" customFormat="1" ht="27.75" customHeight="1">
      <c r="A13" s="14" t="s">
        <v>34</v>
      </c>
      <c r="B13" s="21"/>
      <c r="C13" s="21"/>
      <c r="D13" s="22"/>
      <c r="E13" s="22"/>
      <c r="F13" s="269"/>
      <c r="G13" s="592">
        <f>'[7]2021 Quality Business Plan'!AP13</f>
        <v>34082</v>
      </c>
      <c r="H13" s="311">
        <f>SUM(H14:H15)</f>
        <v>1337</v>
      </c>
      <c r="I13" s="312">
        <f t="shared" ref="I13:S13" si="0">SUM(I14:I15)</f>
        <v>0</v>
      </c>
      <c r="J13" s="311">
        <f t="shared" si="0"/>
        <v>1512</v>
      </c>
      <c r="K13" s="312">
        <f t="shared" si="0"/>
        <v>0</v>
      </c>
      <c r="L13" s="311">
        <f t="shared" si="0"/>
        <v>1583</v>
      </c>
      <c r="M13" s="312">
        <f t="shared" si="0"/>
        <v>0</v>
      </c>
      <c r="N13" s="311">
        <f t="shared" si="0"/>
        <v>1115</v>
      </c>
      <c r="O13" s="312">
        <f t="shared" si="0"/>
        <v>0</v>
      </c>
      <c r="P13" s="311">
        <f t="shared" si="0"/>
        <v>1998</v>
      </c>
      <c r="Q13" s="312">
        <f t="shared" si="0"/>
        <v>0</v>
      </c>
      <c r="R13" s="311">
        <f t="shared" si="0"/>
        <v>1530</v>
      </c>
      <c r="S13" s="313">
        <f t="shared" si="0"/>
        <v>0</v>
      </c>
      <c r="T13" s="314">
        <f>H13+J13+L13+N13+P13+R13</f>
        <v>9075</v>
      </c>
      <c r="U13" s="315">
        <f>I13+K13+M13+O13+Q13+S13</f>
        <v>0</v>
      </c>
      <c r="V13" s="14" t="s">
        <v>63</v>
      </c>
      <c r="W13" s="21"/>
      <c r="X13" s="21"/>
      <c r="Y13" s="22"/>
      <c r="Z13" s="22"/>
      <c r="AA13" s="311">
        <f t="shared" ref="AA13:AL13" si="1">SUM(AA14:AA15)</f>
        <v>1653</v>
      </c>
      <c r="AB13" s="312">
        <f t="shared" si="1"/>
        <v>0</v>
      </c>
      <c r="AC13" s="311">
        <f t="shared" si="1"/>
        <v>1566</v>
      </c>
      <c r="AD13" s="312">
        <f t="shared" si="1"/>
        <v>0</v>
      </c>
      <c r="AE13" s="311">
        <f t="shared" si="1"/>
        <v>1495</v>
      </c>
      <c r="AF13" s="312">
        <f t="shared" si="1"/>
        <v>0</v>
      </c>
      <c r="AG13" s="311">
        <f t="shared" si="1"/>
        <v>1232</v>
      </c>
      <c r="AH13" s="312">
        <f t="shared" si="1"/>
        <v>0</v>
      </c>
      <c r="AI13" s="311">
        <f t="shared" si="1"/>
        <v>1232</v>
      </c>
      <c r="AJ13" s="312">
        <f t="shared" si="1"/>
        <v>0</v>
      </c>
      <c r="AK13" s="311">
        <f t="shared" si="1"/>
        <v>1337</v>
      </c>
      <c r="AL13" s="313">
        <f t="shared" si="1"/>
        <v>0</v>
      </c>
      <c r="AM13" s="652">
        <f>AA13+AC13+AE13+AG13+AI13+AK13</f>
        <v>8515</v>
      </c>
      <c r="AN13" s="667">
        <f>AB13+AD13+AF13+AH13+AJ13+AL13</f>
        <v>0</v>
      </c>
      <c r="AO13" s="652">
        <f>T13+AM13</f>
        <v>17590</v>
      </c>
      <c r="AP13" s="335">
        <f>U13+AN13</f>
        <v>0</v>
      </c>
      <c r="AQ13" s="311">
        <f>AQ14+AQ15</f>
        <v>19349</v>
      </c>
      <c r="AR13" s="311">
        <f>SUM(AR14,AR15)</f>
        <v>21283.900000000005</v>
      </c>
      <c r="AS13" s="463" t="s">
        <v>158</v>
      </c>
      <c r="AT13" s="464">
        <f>AQ13/AO13</f>
        <v>1.1000000000000001</v>
      </c>
      <c r="AU13" s="463"/>
      <c r="AV13" s="463"/>
      <c r="AW13" s="463"/>
    </row>
    <row r="14" spans="1:49" s="270" customFormat="1" ht="27.75" customHeight="1">
      <c r="A14" s="25"/>
      <c r="B14" s="23"/>
      <c r="C14" s="801" t="s">
        <v>35</v>
      </c>
      <c r="D14" s="802"/>
      <c r="E14" s="802"/>
      <c r="F14" s="271"/>
      <c r="G14" s="431">
        <f>'[7]2021 Quality Business Plan'!AP14</f>
        <v>31298</v>
      </c>
      <c r="H14" s="317">
        <v>1196</v>
      </c>
      <c r="I14" s="449">
        <f>'Detail Table(Input this !)'!G4</f>
        <v>0</v>
      </c>
      <c r="J14" s="317">
        <v>1353</v>
      </c>
      <c r="K14" s="318">
        <f>'Detail Table(Input this !)'!H4</f>
        <v>0</v>
      </c>
      <c r="L14" s="317">
        <v>1416</v>
      </c>
      <c r="M14" s="318">
        <f>'Detail Table(Input this !)'!I4</f>
        <v>0</v>
      </c>
      <c r="N14" s="317">
        <v>948</v>
      </c>
      <c r="O14" s="318">
        <f>'Detail Table(Input this !)'!J4</f>
        <v>0</v>
      </c>
      <c r="P14" s="317">
        <v>1837</v>
      </c>
      <c r="Q14" s="318">
        <f>'Detail Table(Input this !)'!K4</f>
        <v>0</v>
      </c>
      <c r="R14" s="317">
        <v>1369</v>
      </c>
      <c r="S14" s="319">
        <f>'Detail Table(Input this !)'!L4</f>
        <v>0</v>
      </c>
      <c r="T14" s="320">
        <f>H14+J14+L14+N14+P14+R14</f>
        <v>8119</v>
      </c>
      <c r="U14" s="321">
        <f>I14+K14+M14+O14+Q14+S14</f>
        <v>0</v>
      </c>
      <c r="V14" s="25"/>
      <c r="W14" s="23"/>
      <c r="X14" s="801" t="s">
        <v>35</v>
      </c>
      <c r="Y14" s="802"/>
      <c r="Z14" s="802"/>
      <c r="AA14" s="317">
        <v>1479</v>
      </c>
      <c r="AB14" s="449">
        <f>'Detail Table(Input this !)'!N4</f>
        <v>0</v>
      </c>
      <c r="AC14" s="317">
        <v>1401</v>
      </c>
      <c r="AD14" s="318">
        <f>'Detail Table(Input this !)'!O4</f>
        <v>0</v>
      </c>
      <c r="AE14" s="317">
        <v>1338</v>
      </c>
      <c r="AF14" s="318">
        <f>'Detail Table(Input this !)'!Q4</f>
        <v>0</v>
      </c>
      <c r="AG14" s="317">
        <v>1102</v>
      </c>
      <c r="AH14" s="318">
        <f>'Detail Table(Input this !)'!S4</f>
        <v>0</v>
      </c>
      <c r="AI14" s="317">
        <v>1102</v>
      </c>
      <c r="AJ14" s="318">
        <f>'Detail Table(Input this !)'!R4</f>
        <v>0</v>
      </c>
      <c r="AK14" s="317">
        <v>1196</v>
      </c>
      <c r="AL14" s="318">
        <v>0</v>
      </c>
      <c r="AM14" s="653">
        <f>AA14+AC14+AE14+AG14+AI14+AK14</f>
        <v>7618</v>
      </c>
      <c r="AN14" s="668">
        <f>AB14+AD14+AF14+AH14+AJ14+AL14</f>
        <v>0</v>
      </c>
      <c r="AO14" s="653">
        <f t="shared" ref="AO14:AP28" si="2">T14+AM14</f>
        <v>15737</v>
      </c>
      <c r="AP14" s="336">
        <f t="shared" si="2"/>
        <v>0</v>
      </c>
      <c r="AQ14" s="317">
        <f>AO14*1.1</f>
        <v>17310.7</v>
      </c>
      <c r="AR14" s="317">
        <f>AQ14*1.1</f>
        <v>19041.770000000004</v>
      </c>
      <c r="AS14" s="463" t="s">
        <v>160</v>
      </c>
      <c r="AT14" s="464">
        <f>AQ14/AO14</f>
        <v>1.1000000000000001</v>
      </c>
      <c r="AU14" s="463"/>
      <c r="AV14" s="463"/>
      <c r="AW14" s="463"/>
    </row>
    <row r="15" spans="1:49" s="270" customFormat="1" ht="27.75" customHeight="1">
      <c r="A15" s="17"/>
      <c r="B15" s="23"/>
      <c r="C15" s="814" t="s">
        <v>36</v>
      </c>
      <c r="D15" s="815"/>
      <c r="E15" s="815"/>
      <c r="F15" s="272"/>
      <c r="G15" s="587">
        <f>'[7]2021 Quality Business Plan'!AP15</f>
        <v>2784</v>
      </c>
      <c r="H15" s="322">
        <v>141</v>
      </c>
      <c r="I15" s="450">
        <f>'Detail Table(Input this !)'!G5</f>
        <v>0</v>
      </c>
      <c r="J15" s="322">
        <v>159</v>
      </c>
      <c r="K15" s="323">
        <f>'Detail Table(Input this !)'!H5</f>
        <v>0</v>
      </c>
      <c r="L15" s="322">
        <v>167</v>
      </c>
      <c r="M15" s="323">
        <f>'Detail Table(Input this !)'!I5</f>
        <v>0</v>
      </c>
      <c r="N15" s="322">
        <v>167</v>
      </c>
      <c r="O15" s="323">
        <f>'Detail Table(Input this !)'!J5</f>
        <v>0</v>
      </c>
      <c r="P15" s="322">
        <v>161</v>
      </c>
      <c r="Q15" s="323">
        <f>'Detail Table(Input this !)'!K5</f>
        <v>0</v>
      </c>
      <c r="R15" s="322">
        <v>161</v>
      </c>
      <c r="S15" s="324">
        <f>'Detail Table(Input this !)'!L5</f>
        <v>0</v>
      </c>
      <c r="T15" s="325">
        <f t="shared" ref="T15:U28" si="3">H15+J15+L15+N15+P15+R15</f>
        <v>956</v>
      </c>
      <c r="U15" s="326">
        <f t="shared" si="3"/>
        <v>0</v>
      </c>
      <c r="V15" s="17"/>
      <c r="W15" s="23"/>
      <c r="X15" s="814" t="s">
        <v>64</v>
      </c>
      <c r="Y15" s="815"/>
      <c r="Z15" s="815"/>
      <c r="AA15" s="322">
        <v>174</v>
      </c>
      <c r="AB15" s="450">
        <f>'Detail Table(Input this !)'!N5</f>
        <v>0</v>
      </c>
      <c r="AC15" s="322">
        <v>165</v>
      </c>
      <c r="AD15" s="323">
        <f>'Detail Table(Input this !)'!O5</f>
        <v>0</v>
      </c>
      <c r="AE15" s="322">
        <v>157</v>
      </c>
      <c r="AF15" s="323">
        <f>'Detail Table(Input this !)'!Q5</f>
        <v>0</v>
      </c>
      <c r="AG15" s="322">
        <v>130</v>
      </c>
      <c r="AH15" s="323">
        <f>'Detail Table(Input this !)'!S5</f>
        <v>0</v>
      </c>
      <c r="AI15" s="322">
        <v>130</v>
      </c>
      <c r="AJ15" s="323">
        <f>'Detail Table(Input this !)'!R5</f>
        <v>0</v>
      </c>
      <c r="AK15" s="322">
        <v>141</v>
      </c>
      <c r="AL15" s="323">
        <v>0</v>
      </c>
      <c r="AM15" s="654">
        <f t="shared" ref="AM15:AN28" si="4">AA15+AC15+AE15+AG15+AI15+AK15</f>
        <v>897</v>
      </c>
      <c r="AN15" s="669">
        <f t="shared" si="4"/>
        <v>0</v>
      </c>
      <c r="AO15" s="654">
        <f t="shared" si="2"/>
        <v>1853</v>
      </c>
      <c r="AP15" s="337">
        <f t="shared" si="2"/>
        <v>0</v>
      </c>
      <c r="AQ15" s="322">
        <f>AO15*1.1</f>
        <v>2038.3000000000002</v>
      </c>
      <c r="AR15" s="322">
        <f>AQ15*1.1</f>
        <v>2242.1300000000006</v>
      </c>
      <c r="AS15" s="463" t="s">
        <v>161</v>
      </c>
      <c r="AT15" s="464">
        <f>AQ15/AO15</f>
        <v>1.1000000000000001</v>
      </c>
      <c r="AU15" s="463"/>
      <c r="AV15" s="463"/>
      <c r="AW15" s="463"/>
    </row>
    <row r="16" spans="1:49" s="270" customFormat="1" ht="27.75" customHeight="1">
      <c r="A16" s="874" t="s">
        <v>45</v>
      </c>
      <c r="B16" s="24"/>
      <c r="C16" s="880" t="s">
        <v>37</v>
      </c>
      <c r="D16" s="880"/>
      <c r="E16" s="881"/>
      <c r="F16" s="273"/>
      <c r="G16" s="588">
        <f>'[7]2021 Quality Business Plan'!AP16</f>
        <v>0</v>
      </c>
      <c r="H16" s="347"/>
      <c r="I16" s="570">
        <f>'Detail Table(Input this !)'!G7</f>
        <v>0</v>
      </c>
      <c r="J16" s="347"/>
      <c r="K16" s="570">
        <f>'Detail Table(Input this !)'!H7</f>
        <v>0</v>
      </c>
      <c r="L16" s="347"/>
      <c r="M16" s="570">
        <f>'Detail Table(Input this !)'!I7</f>
        <v>0</v>
      </c>
      <c r="N16" s="347"/>
      <c r="O16" s="570">
        <f>'Detail Table(Input this !)'!J7</f>
        <v>0</v>
      </c>
      <c r="P16" s="347"/>
      <c r="Q16" s="570">
        <f>'Detail Table(Input this !)'!K7</f>
        <v>0</v>
      </c>
      <c r="R16" s="347"/>
      <c r="S16" s="570">
        <f>'Detail Table(Input this !)'!L7</f>
        <v>0</v>
      </c>
      <c r="T16" s="644">
        <f t="shared" si="3"/>
        <v>0</v>
      </c>
      <c r="U16" s="570">
        <f t="shared" si="3"/>
        <v>0</v>
      </c>
      <c r="V16" s="874" t="s">
        <v>45</v>
      </c>
      <c r="W16" s="24"/>
      <c r="X16" s="880" t="s">
        <v>37</v>
      </c>
      <c r="Y16" s="880"/>
      <c r="Z16" s="881"/>
      <c r="AA16" s="347"/>
      <c r="AB16" s="570">
        <f>'Detail Table(Input this !)'!N7</f>
        <v>0</v>
      </c>
      <c r="AC16" s="347"/>
      <c r="AD16" s="570">
        <f>'Detail Table(Input this !)'!O7</f>
        <v>0</v>
      </c>
      <c r="AE16" s="347"/>
      <c r="AF16" s="570">
        <f>'Detail Table(Input this !)'!Q7</f>
        <v>0</v>
      </c>
      <c r="AG16" s="347"/>
      <c r="AH16" s="570">
        <f>'Detail Table(Input this !)'!S7</f>
        <v>0</v>
      </c>
      <c r="AI16" s="347"/>
      <c r="AJ16" s="570">
        <f>'Detail Table(Input this !)'!R7</f>
        <v>0</v>
      </c>
      <c r="AK16" s="347"/>
      <c r="AL16" s="570">
        <v>0</v>
      </c>
      <c r="AM16" s="655">
        <f t="shared" si="4"/>
        <v>0</v>
      </c>
      <c r="AN16" s="670">
        <f t="shared" si="4"/>
        <v>0</v>
      </c>
      <c r="AO16" s="655">
        <f t="shared" si="2"/>
        <v>0</v>
      </c>
      <c r="AP16" s="570">
        <f t="shared" si="2"/>
        <v>0</v>
      </c>
      <c r="AQ16" s="347">
        <v>0</v>
      </c>
      <c r="AR16" s="347"/>
      <c r="AS16" s="463"/>
      <c r="AT16" s="463"/>
      <c r="AU16" s="463"/>
      <c r="AV16" s="463"/>
      <c r="AW16" s="463"/>
    </row>
    <row r="17" spans="1:49" s="270" customFormat="1" ht="27.75" customHeight="1">
      <c r="A17" s="875"/>
      <c r="B17" s="877" t="s">
        <v>39</v>
      </c>
      <c r="C17" s="843" t="s">
        <v>38</v>
      </c>
      <c r="D17" s="844"/>
      <c r="E17" s="845"/>
      <c r="F17" s="274"/>
      <c r="G17" s="593">
        <f>'[7]2021 Quality Business Plan'!AP17</f>
        <v>285.69045057677164</v>
      </c>
      <c r="H17" s="641">
        <f t="shared" ref="H17:S17" si="5">SUM(H18:H22)</f>
        <v>16.023879623336562</v>
      </c>
      <c r="I17" s="571">
        <f t="shared" si="5"/>
        <v>0</v>
      </c>
      <c r="J17" s="641">
        <f>SUM(J18:J22)</f>
        <v>17.698691900351967</v>
      </c>
      <c r="K17" s="571">
        <f t="shared" si="5"/>
        <v>0</v>
      </c>
      <c r="L17" s="641">
        <f>SUM(L18:L22)</f>
        <v>14.152918160724759</v>
      </c>
      <c r="M17" s="571">
        <f t="shared" si="5"/>
        <v>0</v>
      </c>
      <c r="N17" s="641">
        <f>SUM(N18:N22)</f>
        <v>16.423722193975376</v>
      </c>
      <c r="O17" s="571">
        <f t="shared" si="5"/>
        <v>0</v>
      </c>
      <c r="P17" s="641">
        <f>SUM(P18:P22)</f>
        <v>16.423722193975376</v>
      </c>
      <c r="Q17" s="571">
        <f t="shared" si="5"/>
        <v>0</v>
      </c>
      <c r="R17" s="641">
        <f>SUM(R18:R22)</f>
        <v>19.448946171827522</v>
      </c>
      <c r="S17" s="571">
        <f t="shared" si="5"/>
        <v>0</v>
      </c>
      <c r="T17" s="645">
        <f t="shared" si="3"/>
        <v>100.17188024419156</v>
      </c>
      <c r="U17" s="571">
        <f t="shared" si="3"/>
        <v>0</v>
      </c>
      <c r="V17" s="875"/>
      <c r="W17" s="877" t="s">
        <v>39</v>
      </c>
      <c r="X17" s="843" t="s">
        <v>65</v>
      </c>
      <c r="Y17" s="844"/>
      <c r="Z17" s="845"/>
      <c r="AA17" s="641">
        <f t="shared" ref="AA17:AK17" si="6">SUM(AA18:AA22)</f>
        <v>21.591498814495878</v>
      </c>
      <c r="AB17" s="571">
        <f t="shared" si="6"/>
        <v>0</v>
      </c>
      <c r="AC17" s="641">
        <f t="shared" si="6"/>
        <v>21.018139656598709</v>
      </c>
      <c r="AD17" s="571">
        <f t="shared" si="6"/>
        <v>0</v>
      </c>
      <c r="AE17" s="641">
        <f t="shared" si="6"/>
        <v>16.612327180125757</v>
      </c>
      <c r="AF17" s="571">
        <f t="shared" si="6"/>
        <v>0</v>
      </c>
      <c r="AG17" s="641">
        <f t="shared" si="6"/>
        <v>13.722898792301887</v>
      </c>
      <c r="AH17" s="571">
        <f t="shared" si="6"/>
        <v>0</v>
      </c>
      <c r="AI17" s="641">
        <f t="shared" si="6"/>
        <v>13.971857374020393</v>
      </c>
      <c r="AJ17" s="571">
        <f t="shared" si="6"/>
        <v>0</v>
      </c>
      <c r="AK17" s="641">
        <f t="shared" si="6"/>
        <v>17.072523346332694</v>
      </c>
      <c r="AL17" s="571">
        <v>0</v>
      </c>
      <c r="AM17" s="663">
        <f t="shared" si="4"/>
        <v>103.98924516387532</v>
      </c>
      <c r="AN17" s="671">
        <f>AB17+AD17+AF17+AH17+AJ17+AL17</f>
        <v>0</v>
      </c>
      <c r="AO17" s="663">
        <f t="shared" si="2"/>
        <v>204.16112540806688</v>
      </c>
      <c r="AP17" s="571">
        <f t="shared" si="2"/>
        <v>0</v>
      </c>
      <c r="AQ17" s="641">
        <f>SUM(AQ18:AQ22)</f>
        <v>233.56032746682851</v>
      </c>
      <c r="AR17" s="641">
        <f>SUM(AR18:AR22)</f>
        <v>267.19301462205186</v>
      </c>
      <c r="AS17" s="463"/>
      <c r="AT17" s="463"/>
      <c r="AU17" s="463"/>
      <c r="AV17" s="463"/>
      <c r="AW17" s="463"/>
    </row>
    <row r="18" spans="1:49" s="270" customFormat="1" ht="27.75" customHeight="1">
      <c r="A18" s="875"/>
      <c r="B18" s="859"/>
      <c r="C18" s="27"/>
      <c r="D18" s="801" t="s">
        <v>40</v>
      </c>
      <c r="E18" s="846"/>
      <c r="F18" s="274"/>
      <c r="G18" s="589">
        <f>'[7]2021 Quality Business Plan'!AP18</f>
        <v>285.69045057677164</v>
      </c>
      <c r="H18" s="635">
        <f>'Detail Table(Forecast)'!G11</f>
        <v>16.023879623336562</v>
      </c>
      <c r="I18" s="572">
        <f>'Detail Table(Input this !)'!G11</f>
        <v>0</v>
      </c>
      <c r="J18" s="635">
        <f>'Detail Table(Forecast)'!H11</f>
        <v>17.698691900351967</v>
      </c>
      <c r="K18" s="572">
        <f>'Detail Table(Input this !)'!H11</f>
        <v>0</v>
      </c>
      <c r="L18" s="635">
        <f>'Detail Table(Forecast)'!I11</f>
        <v>14.152918160724759</v>
      </c>
      <c r="M18" s="572">
        <f>'Detail Table(Input this !)'!I11</f>
        <v>0</v>
      </c>
      <c r="N18" s="635">
        <f>'Detail Table(Forecast)'!J11</f>
        <v>16.423722193975376</v>
      </c>
      <c r="O18" s="572">
        <f>'Detail Table(Input this !)'!J11</f>
        <v>0</v>
      </c>
      <c r="P18" s="635">
        <f>'Detail Table(Forecast)'!K11</f>
        <v>16.423722193975376</v>
      </c>
      <c r="Q18" s="572">
        <f>'Detail Table(Input this !)'!K11</f>
        <v>0</v>
      </c>
      <c r="R18" s="635">
        <f>'Detail Table(Forecast)'!L11</f>
        <v>19.448946171827522</v>
      </c>
      <c r="S18" s="572">
        <f>'Detail Table(Input this !)'!L11</f>
        <v>0</v>
      </c>
      <c r="T18" s="645">
        <f t="shared" si="3"/>
        <v>100.17188024419156</v>
      </c>
      <c r="U18" s="572">
        <f t="shared" si="3"/>
        <v>0</v>
      </c>
      <c r="V18" s="875"/>
      <c r="W18" s="859"/>
      <c r="X18" s="27"/>
      <c r="Y18" s="801" t="s">
        <v>40</v>
      </c>
      <c r="Z18" s="846"/>
      <c r="AA18" s="635">
        <f>'Detail Table(Forecast)'!N11</f>
        <v>21.591498814495878</v>
      </c>
      <c r="AB18" s="572">
        <f>'Detail Table(Input this !)'!N11</f>
        <v>0</v>
      </c>
      <c r="AC18" s="635">
        <f>'Detail Table(Forecast)'!O11</f>
        <v>21.018139656598709</v>
      </c>
      <c r="AD18" s="572">
        <f>'Detail Table(Input this !)'!O11</f>
        <v>0</v>
      </c>
      <c r="AE18" s="635">
        <f>'Detail Table(Forecast)'!P11</f>
        <v>16.612327180125757</v>
      </c>
      <c r="AF18" s="572">
        <f>'Detail Table(Input this !)'!Q11</f>
        <v>0</v>
      </c>
      <c r="AG18" s="635">
        <f>'Detail Table(Forecast)'!Q11</f>
        <v>13.722898792301887</v>
      </c>
      <c r="AH18" s="572">
        <f>'Detail Table(Input this !)'!S11</f>
        <v>0</v>
      </c>
      <c r="AI18" s="635">
        <f>'Detail Table(Forecast)'!R11</f>
        <v>13.971857374020393</v>
      </c>
      <c r="AJ18" s="572">
        <f>'Detail Table(Input this !)'!R11</f>
        <v>0</v>
      </c>
      <c r="AK18" s="635">
        <f>'Detail Table(Forecast)'!S11</f>
        <v>17.072523346332694</v>
      </c>
      <c r="AL18" s="572">
        <v>0</v>
      </c>
      <c r="AM18" s="656">
        <f t="shared" si="4"/>
        <v>103.98924516387532</v>
      </c>
      <c r="AN18" s="657">
        <f t="shared" si="4"/>
        <v>0</v>
      </c>
      <c r="AO18" s="656">
        <f t="shared" si="2"/>
        <v>204.16112540806688</v>
      </c>
      <c r="AP18" s="572">
        <f t="shared" si="2"/>
        <v>0</v>
      </c>
      <c r="AQ18" s="635">
        <f>AO18*1.1*1.04</f>
        <v>233.56032746682851</v>
      </c>
      <c r="AR18" s="635">
        <f>AQ18*1.1*1.04</f>
        <v>267.19301462205186</v>
      </c>
      <c r="AS18" s="463"/>
      <c r="AT18" s="463"/>
      <c r="AU18" s="463"/>
      <c r="AV18" s="463"/>
      <c r="AW18" s="463"/>
    </row>
    <row r="19" spans="1:49" s="270" customFormat="1" ht="27.75" customHeight="1">
      <c r="A19" s="875"/>
      <c r="B19" s="859"/>
      <c r="C19" s="27"/>
      <c r="D19" s="801" t="s">
        <v>41</v>
      </c>
      <c r="E19" s="846"/>
      <c r="F19" s="274"/>
      <c r="G19" s="589">
        <f>'[7]2021 Quality Business Plan'!AP19</f>
        <v>0</v>
      </c>
      <c r="H19" s="636">
        <f>'Detail Table(Forecast)'!G17</f>
        <v>0</v>
      </c>
      <c r="I19" s="572">
        <f>'Detail Table(Input this !)'!G17</f>
        <v>0</v>
      </c>
      <c r="J19" s="636">
        <f>'Detail Table(Forecast)'!H17</f>
        <v>0</v>
      </c>
      <c r="K19" s="572">
        <f>'Detail Table(Input this !)'!H17</f>
        <v>0</v>
      </c>
      <c r="L19" s="636">
        <f>'Detail Table(Forecast)'!I17</f>
        <v>0</v>
      </c>
      <c r="M19" s="572">
        <f>'Detail Table(Input this !)'!I17</f>
        <v>0</v>
      </c>
      <c r="N19" s="636">
        <f>'Detail Table(Forecast)'!J17</f>
        <v>0</v>
      </c>
      <c r="O19" s="572">
        <f>'Detail Table(Input this !)'!J17</f>
        <v>0</v>
      </c>
      <c r="P19" s="636">
        <f>'Detail Table(Forecast)'!K17</f>
        <v>0</v>
      </c>
      <c r="Q19" s="572">
        <f>'Detail Table(Input this !)'!K17</f>
        <v>0</v>
      </c>
      <c r="R19" s="636">
        <f>'Detail Table(Forecast)'!L17</f>
        <v>0</v>
      </c>
      <c r="S19" s="572">
        <f>'Detail Table(Input this !)'!L17</f>
        <v>0</v>
      </c>
      <c r="T19" s="645">
        <f t="shared" si="3"/>
        <v>0</v>
      </c>
      <c r="U19" s="572">
        <f t="shared" si="3"/>
        <v>0</v>
      </c>
      <c r="V19" s="875"/>
      <c r="W19" s="859"/>
      <c r="X19" s="27"/>
      <c r="Y19" s="801" t="s">
        <v>41</v>
      </c>
      <c r="Z19" s="846"/>
      <c r="AA19" s="636">
        <f>'Detail Table(Forecast)'!N17</f>
        <v>0</v>
      </c>
      <c r="AB19" s="572">
        <f>'Detail Table(Input this !)'!N17</f>
        <v>0</v>
      </c>
      <c r="AC19" s="636">
        <f>'Detail Table(Forecast)'!O17</f>
        <v>0</v>
      </c>
      <c r="AD19" s="572">
        <f>'Detail Table(Input this !)'!O17</f>
        <v>0</v>
      </c>
      <c r="AE19" s="636">
        <f>'Detail Table(Forecast)'!P17</f>
        <v>0</v>
      </c>
      <c r="AF19" s="572">
        <f>'Detail Table(Input this !)'!Q17</f>
        <v>0</v>
      </c>
      <c r="AG19" s="636">
        <f>'Detail Table(Forecast)'!Q17</f>
        <v>0</v>
      </c>
      <c r="AH19" s="572">
        <f>'Detail Table(Input this !)'!S17</f>
        <v>0</v>
      </c>
      <c r="AI19" s="636">
        <f>'Detail Table(Forecast)'!R17</f>
        <v>0</v>
      </c>
      <c r="AJ19" s="572">
        <f>'Detail Table(Input this !)'!R17</f>
        <v>0</v>
      </c>
      <c r="AK19" s="636">
        <f>'Detail Table(Forecast)'!S17</f>
        <v>0</v>
      </c>
      <c r="AL19" s="572">
        <v>0</v>
      </c>
      <c r="AM19" s="656">
        <f t="shared" si="4"/>
        <v>0</v>
      </c>
      <c r="AN19" s="657">
        <f t="shared" si="4"/>
        <v>0</v>
      </c>
      <c r="AO19" s="656">
        <f t="shared" si="2"/>
        <v>0</v>
      </c>
      <c r="AP19" s="572">
        <f t="shared" si="2"/>
        <v>0</v>
      </c>
      <c r="AQ19" s="636">
        <f>AO19/AO13*AQ13*1.044</f>
        <v>0</v>
      </c>
      <c r="AR19" s="636">
        <f>AQ19/AQ13*AR13*1.044</f>
        <v>0</v>
      </c>
      <c r="AS19" s="463" t="s">
        <v>159</v>
      </c>
      <c r="AT19" s="464">
        <f>AO13/G13*(1+AT11/100)</f>
        <v>0.54960363241593801</v>
      </c>
      <c r="AU19" s="463"/>
      <c r="AV19" s="463"/>
      <c r="AW19" s="463"/>
    </row>
    <row r="20" spans="1:49" s="270" customFormat="1" ht="27.75" customHeight="1">
      <c r="A20" s="875"/>
      <c r="B20" s="859"/>
      <c r="C20" s="27"/>
      <c r="D20" s="801" t="s">
        <v>42</v>
      </c>
      <c r="E20" s="846"/>
      <c r="F20" s="274"/>
      <c r="G20" s="589">
        <f>'[7]2021 Quality Business Plan'!AP20</f>
        <v>0</v>
      </c>
      <c r="H20" s="635">
        <f>'Detail Table(Forecast)'!G18</f>
        <v>0</v>
      </c>
      <c r="I20" s="572">
        <f>'Detail Table(Input this !)'!G18</f>
        <v>0</v>
      </c>
      <c r="J20" s="635">
        <f>'Detail Table(Forecast)'!H18</f>
        <v>0</v>
      </c>
      <c r="K20" s="572">
        <f>'Detail Table(Input this !)'!H18</f>
        <v>0</v>
      </c>
      <c r="L20" s="635">
        <f>'Detail Table(Forecast)'!I18</f>
        <v>0</v>
      </c>
      <c r="M20" s="572">
        <f>'Detail Table(Input this !)'!I18</f>
        <v>0</v>
      </c>
      <c r="N20" s="635">
        <f>'Detail Table(Forecast)'!J18</f>
        <v>0</v>
      </c>
      <c r="O20" s="572">
        <f>'Detail Table(Input this !)'!J18</f>
        <v>0</v>
      </c>
      <c r="P20" s="635">
        <f>'Detail Table(Forecast)'!K18</f>
        <v>0</v>
      </c>
      <c r="Q20" s="572">
        <f>'Detail Table(Input this !)'!K18</f>
        <v>0</v>
      </c>
      <c r="R20" s="635">
        <f>'Detail Table(Forecast)'!L18</f>
        <v>0</v>
      </c>
      <c r="S20" s="572">
        <f>'Detail Table(Input this !)'!L18</f>
        <v>0</v>
      </c>
      <c r="T20" s="645">
        <f t="shared" si="3"/>
        <v>0</v>
      </c>
      <c r="U20" s="572">
        <f t="shared" si="3"/>
        <v>0</v>
      </c>
      <c r="V20" s="875"/>
      <c r="W20" s="859"/>
      <c r="X20" s="27"/>
      <c r="Y20" s="801" t="s">
        <v>42</v>
      </c>
      <c r="Z20" s="846"/>
      <c r="AA20" s="635">
        <f>'Detail Table(Forecast)'!N18</f>
        <v>0</v>
      </c>
      <c r="AB20" s="572">
        <f>'Detail Table(Input this !)'!N18</f>
        <v>0</v>
      </c>
      <c r="AC20" s="635">
        <f>'Detail Table(Forecast)'!O18</f>
        <v>0</v>
      </c>
      <c r="AD20" s="572">
        <f>'Detail Table(Input this !)'!O18</f>
        <v>0</v>
      </c>
      <c r="AE20" s="635">
        <f>'Detail Table(Forecast)'!P18</f>
        <v>0</v>
      </c>
      <c r="AF20" s="572">
        <f>'Detail Table(Input this !)'!Q18</f>
        <v>0</v>
      </c>
      <c r="AG20" s="635">
        <f>'Detail Table(Forecast)'!Q18</f>
        <v>0</v>
      </c>
      <c r="AH20" s="572">
        <f>'Detail Table(Input this !)'!S18</f>
        <v>0</v>
      </c>
      <c r="AI20" s="635">
        <f>'Detail Table(Forecast)'!R18</f>
        <v>0</v>
      </c>
      <c r="AJ20" s="572">
        <f>'Detail Table(Input this !)'!R18</f>
        <v>0</v>
      </c>
      <c r="AK20" s="635">
        <f>'Detail Table(Forecast)'!S18</f>
        <v>0</v>
      </c>
      <c r="AL20" s="572">
        <v>0</v>
      </c>
      <c r="AM20" s="656">
        <f t="shared" si="4"/>
        <v>0</v>
      </c>
      <c r="AN20" s="657">
        <f t="shared" si="4"/>
        <v>0</v>
      </c>
      <c r="AO20" s="656">
        <f t="shared" si="2"/>
        <v>0</v>
      </c>
      <c r="AP20" s="572">
        <f t="shared" si="2"/>
        <v>0</v>
      </c>
      <c r="AQ20" s="635">
        <v>0</v>
      </c>
      <c r="AR20" s="635">
        <v>0</v>
      </c>
      <c r="AS20" s="463"/>
      <c r="AT20" s="463"/>
      <c r="AU20" s="463"/>
      <c r="AV20" s="463"/>
      <c r="AW20" s="463"/>
    </row>
    <row r="21" spans="1:49" s="270" customFormat="1" ht="27.75" customHeight="1">
      <c r="A21" s="875"/>
      <c r="B21" s="859"/>
      <c r="C21" s="27"/>
      <c r="D21" s="801" t="s">
        <v>43</v>
      </c>
      <c r="E21" s="846"/>
      <c r="F21" s="274"/>
      <c r="G21" s="589">
        <f>'[7]2021 Quality Business Plan'!AP21</f>
        <v>0</v>
      </c>
      <c r="H21" s="635">
        <f>'Detail Table(Forecast)'!G19</f>
        <v>0</v>
      </c>
      <c r="I21" s="572">
        <f>'Detail Table(Input this !)'!G19</f>
        <v>0</v>
      </c>
      <c r="J21" s="635">
        <f>'Detail Table(Forecast)'!H19</f>
        <v>0</v>
      </c>
      <c r="K21" s="572">
        <f>'Detail Table(Input this !)'!H19</f>
        <v>0</v>
      </c>
      <c r="L21" s="635">
        <f>'Detail Table(Forecast)'!I19</f>
        <v>0</v>
      </c>
      <c r="M21" s="572">
        <f>'Detail Table(Input this !)'!I19</f>
        <v>0</v>
      </c>
      <c r="N21" s="635">
        <f>'Detail Table(Forecast)'!J19</f>
        <v>0</v>
      </c>
      <c r="O21" s="572">
        <f>'Detail Table(Input this !)'!J19</f>
        <v>0</v>
      </c>
      <c r="P21" s="635">
        <f>'Detail Table(Forecast)'!K19</f>
        <v>0</v>
      </c>
      <c r="Q21" s="572">
        <f>'Detail Table(Input this !)'!K19</f>
        <v>0</v>
      </c>
      <c r="R21" s="635">
        <f>'Detail Table(Forecast)'!L19</f>
        <v>0</v>
      </c>
      <c r="S21" s="572">
        <f>'Detail Table(Input this !)'!L19</f>
        <v>0</v>
      </c>
      <c r="T21" s="645">
        <f t="shared" si="3"/>
        <v>0</v>
      </c>
      <c r="U21" s="572">
        <f t="shared" si="3"/>
        <v>0</v>
      </c>
      <c r="V21" s="875"/>
      <c r="W21" s="859"/>
      <c r="X21" s="27"/>
      <c r="Y21" s="801" t="s">
        <v>43</v>
      </c>
      <c r="Z21" s="846"/>
      <c r="AA21" s="635">
        <f>'Detail Table(Forecast)'!N19</f>
        <v>0</v>
      </c>
      <c r="AB21" s="572">
        <f>'Detail Table(Input this !)'!N19</f>
        <v>0</v>
      </c>
      <c r="AC21" s="635">
        <f>'Detail Table(Forecast)'!O19</f>
        <v>0</v>
      </c>
      <c r="AD21" s="572">
        <f>'Detail Table(Input this !)'!O19</f>
        <v>0</v>
      </c>
      <c r="AE21" s="635">
        <f>'Detail Table(Forecast)'!P19</f>
        <v>0</v>
      </c>
      <c r="AF21" s="572">
        <f>'Detail Table(Input this !)'!Q19</f>
        <v>0</v>
      </c>
      <c r="AG21" s="635">
        <f>'Detail Table(Forecast)'!Q19</f>
        <v>0</v>
      </c>
      <c r="AH21" s="572">
        <f>'Detail Table(Input this !)'!S19</f>
        <v>0</v>
      </c>
      <c r="AI21" s="635">
        <f>'Detail Table(Forecast)'!R19</f>
        <v>0</v>
      </c>
      <c r="AJ21" s="572">
        <f>'Detail Table(Input this !)'!R19</f>
        <v>0</v>
      </c>
      <c r="AK21" s="635">
        <f>'Detail Table(Forecast)'!S19</f>
        <v>0</v>
      </c>
      <c r="AL21" s="572">
        <v>0</v>
      </c>
      <c r="AM21" s="656">
        <f t="shared" si="4"/>
        <v>0</v>
      </c>
      <c r="AN21" s="657">
        <f t="shared" si="4"/>
        <v>0</v>
      </c>
      <c r="AO21" s="656">
        <f t="shared" si="2"/>
        <v>0</v>
      </c>
      <c r="AP21" s="572">
        <f t="shared" si="2"/>
        <v>0</v>
      </c>
      <c r="AQ21" s="635">
        <v>0</v>
      </c>
      <c r="AR21" s="635">
        <v>0</v>
      </c>
      <c r="AS21" s="463"/>
      <c r="AT21" s="463"/>
      <c r="AU21" s="463"/>
      <c r="AV21" s="463"/>
      <c r="AW21" s="463"/>
    </row>
    <row r="22" spans="1:49" s="270" customFormat="1" ht="27.75" customHeight="1">
      <c r="A22" s="875"/>
      <c r="B22" s="860"/>
      <c r="C22" s="27"/>
      <c r="D22" s="814" t="s">
        <v>44</v>
      </c>
      <c r="E22" s="862"/>
      <c r="F22" s="274"/>
      <c r="G22" s="589">
        <f>'[7]2021 Quality Business Plan'!AP22</f>
        <v>0</v>
      </c>
      <c r="H22" s="637">
        <f>'Detail Table(Forecast)'!G17</f>
        <v>0</v>
      </c>
      <c r="I22" s="572">
        <f>'Detail Table(Input this !)'!G20</f>
        <v>0</v>
      </c>
      <c r="J22" s="637">
        <f>'Detail Table(Forecast)'!H17</f>
        <v>0</v>
      </c>
      <c r="K22" s="572">
        <f>'Detail Table(Input this !)'!H20</f>
        <v>0</v>
      </c>
      <c r="L22" s="637">
        <f>'Detail Table(Forecast)'!I17</f>
        <v>0</v>
      </c>
      <c r="M22" s="572">
        <f>'Detail Table(Input this !)'!I20</f>
        <v>0</v>
      </c>
      <c r="N22" s="637">
        <f>'Detail Table(Forecast)'!J17</f>
        <v>0</v>
      </c>
      <c r="O22" s="572">
        <f>'Detail Table(Input this !)'!J20</f>
        <v>0</v>
      </c>
      <c r="P22" s="637">
        <f>'Detail Table(Forecast)'!K17</f>
        <v>0</v>
      </c>
      <c r="Q22" s="572">
        <f>'Detail Table(Input this !)'!K20</f>
        <v>0</v>
      </c>
      <c r="R22" s="637">
        <f>'Detail Table(Forecast)'!L17</f>
        <v>0</v>
      </c>
      <c r="S22" s="572">
        <f>'Detail Table(Input this !)'!L20</f>
        <v>0</v>
      </c>
      <c r="T22" s="645">
        <f t="shared" si="3"/>
        <v>0</v>
      </c>
      <c r="U22" s="572">
        <f t="shared" si="3"/>
        <v>0</v>
      </c>
      <c r="V22" s="875"/>
      <c r="W22" s="860"/>
      <c r="X22" s="27"/>
      <c r="Y22" s="814" t="s">
        <v>44</v>
      </c>
      <c r="Z22" s="862"/>
      <c r="AA22" s="637">
        <f>'Detail Table(Forecast)'!N17</f>
        <v>0</v>
      </c>
      <c r="AB22" s="572">
        <f>'Detail Table(Input this !)'!N20</f>
        <v>0</v>
      </c>
      <c r="AC22" s="637">
        <f>'Detail Table(Forecast)'!O17</f>
        <v>0</v>
      </c>
      <c r="AD22" s="572">
        <f>'Detail Table(Input this !)'!O20</f>
        <v>0</v>
      </c>
      <c r="AE22" s="637">
        <f>'Detail Table(Forecast)'!P17</f>
        <v>0</v>
      </c>
      <c r="AF22" s="572">
        <f>'Detail Table(Input this !)'!Q20</f>
        <v>0</v>
      </c>
      <c r="AG22" s="637">
        <f>'Detail Table(Forecast)'!Q17</f>
        <v>0</v>
      </c>
      <c r="AH22" s="572">
        <f>'Detail Table(Input this !)'!S20</f>
        <v>0</v>
      </c>
      <c r="AI22" s="637">
        <f>'Detail Table(Forecast)'!R17</f>
        <v>0</v>
      </c>
      <c r="AJ22" s="572">
        <f>'Detail Table(Input this !)'!R20</f>
        <v>0</v>
      </c>
      <c r="AK22" s="637">
        <f>'Detail Table(Forecast)'!S17</f>
        <v>0</v>
      </c>
      <c r="AL22" s="572">
        <v>0</v>
      </c>
      <c r="AM22" s="658">
        <f t="shared" si="4"/>
        <v>0</v>
      </c>
      <c r="AN22" s="657">
        <f t="shared" si="4"/>
        <v>0</v>
      </c>
      <c r="AO22" s="658">
        <f t="shared" si="2"/>
        <v>0</v>
      </c>
      <c r="AP22" s="572">
        <f t="shared" si="2"/>
        <v>0</v>
      </c>
      <c r="AQ22" s="637">
        <v>0</v>
      </c>
      <c r="AR22" s="637">
        <v>0</v>
      </c>
      <c r="AS22" s="463"/>
      <c r="AT22" s="463"/>
      <c r="AU22" s="463"/>
      <c r="AV22" s="463"/>
      <c r="AW22" s="463"/>
    </row>
    <row r="23" spans="1:49" s="270" customFormat="1" ht="27.75" customHeight="1">
      <c r="A23" s="875"/>
      <c r="B23" s="858" t="s">
        <v>153</v>
      </c>
      <c r="C23" s="878" t="s">
        <v>155</v>
      </c>
      <c r="D23" s="879"/>
      <c r="E23" s="879"/>
      <c r="F23" s="275"/>
      <c r="G23" s="594">
        <f>'[7]2021 Quality Business Plan'!AP23</f>
        <v>14837.008757836888</v>
      </c>
      <c r="H23" s="642">
        <f t="shared" ref="H23:S23" si="7">SUM(H24:H27)</f>
        <v>779.79496803147788</v>
      </c>
      <c r="I23" s="573">
        <f t="shared" si="7"/>
        <v>0</v>
      </c>
      <c r="J23" s="642">
        <f t="shared" si="7"/>
        <v>1005.1342749249997</v>
      </c>
      <c r="K23" s="573">
        <f t="shared" si="7"/>
        <v>0</v>
      </c>
      <c r="L23" s="642">
        <f t="shared" si="7"/>
        <v>897.31156070302654</v>
      </c>
      <c r="M23" s="573">
        <f t="shared" si="7"/>
        <v>0</v>
      </c>
      <c r="N23" s="642">
        <f t="shared" si="7"/>
        <v>990.49596677541751</v>
      </c>
      <c r="O23" s="573">
        <f t="shared" si="7"/>
        <v>0</v>
      </c>
      <c r="P23" s="642">
        <f t="shared" si="7"/>
        <v>988.68305279882088</v>
      </c>
      <c r="Q23" s="573">
        <f t="shared" si="7"/>
        <v>0</v>
      </c>
      <c r="R23" s="642">
        <f t="shared" si="7"/>
        <v>1074.7621344730833</v>
      </c>
      <c r="S23" s="573">
        <f t="shared" si="7"/>
        <v>0</v>
      </c>
      <c r="T23" s="646">
        <f t="shared" si="3"/>
        <v>5736.1819577068254</v>
      </c>
      <c r="U23" s="573">
        <f t="shared" si="3"/>
        <v>0</v>
      </c>
      <c r="V23" s="875"/>
      <c r="W23" s="858" t="s">
        <v>46</v>
      </c>
      <c r="X23" s="878" t="s">
        <v>46</v>
      </c>
      <c r="Y23" s="879"/>
      <c r="Z23" s="879"/>
      <c r="AA23" s="642">
        <f t="shared" ref="AA23:AK23" si="8">SUM(AA24:AA27)</f>
        <v>1144.4728245879628</v>
      </c>
      <c r="AB23" s="573">
        <f t="shared" si="8"/>
        <v>0</v>
      </c>
      <c r="AC23" s="642">
        <f t="shared" si="8"/>
        <v>1093.8309750869375</v>
      </c>
      <c r="AD23" s="573">
        <f t="shared" si="8"/>
        <v>0</v>
      </c>
      <c r="AE23" s="642">
        <f t="shared" si="8"/>
        <v>763.05312488811683</v>
      </c>
      <c r="AF23" s="573">
        <f t="shared" si="8"/>
        <v>0</v>
      </c>
      <c r="AG23" s="642">
        <f t="shared" si="8"/>
        <v>799.61853851087722</v>
      </c>
      <c r="AH23" s="573">
        <f t="shared" si="8"/>
        <v>0</v>
      </c>
      <c r="AI23" s="642">
        <f t="shared" si="8"/>
        <v>929.29555443016466</v>
      </c>
      <c r="AJ23" s="573">
        <f t="shared" si="8"/>
        <v>0</v>
      </c>
      <c r="AK23" s="642">
        <f t="shared" si="8"/>
        <v>626.36312196201743</v>
      </c>
      <c r="AL23" s="573">
        <v>0</v>
      </c>
      <c r="AM23" s="595">
        <f t="shared" si="4"/>
        <v>5356.6341394660767</v>
      </c>
      <c r="AN23" s="594">
        <f t="shared" si="4"/>
        <v>0</v>
      </c>
      <c r="AO23" s="674">
        <f t="shared" si="2"/>
        <v>11092.816097172901</v>
      </c>
      <c r="AP23" s="573">
        <f t="shared" si="2"/>
        <v>0</v>
      </c>
      <c r="AQ23" s="642">
        <f>SUM(AQ24:AQ27)</f>
        <v>11050.928269231907</v>
      </c>
      <c r="AR23" s="642">
        <f>SUM(AR24:AR27)</f>
        <v>10451.702912393535</v>
      </c>
      <c r="AS23" s="463"/>
      <c r="AT23" s="463"/>
      <c r="AU23" s="463"/>
      <c r="AV23" s="463"/>
      <c r="AW23" s="463"/>
    </row>
    <row r="24" spans="1:49" s="270" customFormat="1" ht="27.75" customHeight="1">
      <c r="A24" s="875"/>
      <c r="B24" s="859"/>
      <c r="C24" s="28"/>
      <c r="D24" s="847" t="s">
        <v>47</v>
      </c>
      <c r="E24" s="848"/>
      <c r="F24" s="276"/>
      <c r="G24" s="590">
        <f>'[7]2021 Quality Business Plan'!AP24</f>
        <v>0</v>
      </c>
      <c r="H24" s="638">
        <f>'Detail Table(Forecast)'!G22</f>
        <v>0</v>
      </c>
      <c r="I24" s="574">
        <f>'Detail Table(Input this !)'!G22</f>
        <v>0</v>
      </c>
      <c r="J24" s="638">
        <f>'Detail Table(Forecast)'!H22</f>
        <v>0</v>
      </c>
      <c r="K24" s="574">
        <f>'Detail Table(Input this !)'!H22</f>
        <v>0</v>
      </c>
      <c r="L24" s="638">
        <f>'Detail Table(Forecast)'!I22</f>
        <v>0</v>
      </c>
      <c r="M24" s="574">
        <f>'Detail Table(Input this !)'!I22</f>
        <v>0</v>
      </c>
      <c r="N24" s="638">
        <f>'Detail Table(Forecast)'!J22</f>
        <v>0</v>
      </c>
      <c r="O24" s="574">
        <f>'Detail Table(Input this !)'!J22</f>
        <v>0</v>
      </c>
      <c r="P24" s="638">
        <f>'Detail Table(Forecast)'!K22</f>
        <v>0</v>
      </c>
      <c r="Q24" s="574">
        <f>'Detail Table(Input this !)'!K22</f>
        <v>0</v>
      </c>
      <c r="R24" s="638">
        <f>'Detail Table(Forecast)'!L22</f>
        <v>0</v>
      </c>
      <c r="S24" s="574">
        <f>'Detail Table(Input this !)'!L22</f>
        <v>0</v>
      </c>
      <c r="T24" s="647">
        <f t="shared" si="3"/>
        <v>0</v>
      </c>
      <c r="U24" s="574">
        <f t="shared" si="3"/>
        <v>0</v>
      </c>
      <c r="V24" s="875"/>
      <c r="W24" s="859"/>
      <c r="X24" s="28"/>
      <c r="Y24" s="847" t="s">
        <v>47</v>
      </c>
      <c r="Z24" s="848"/>
      <c r="AA24" s="638">
        <f>'Detail Table(Forecast)'!N22</f>
        <v>0</v>
      </c>
      <c r="AB24" s="574">
        <f>'Detail Table(Input this !)'!N22</f>
        <v>0</v>
      </c>
      <c r="AC24" s="638">
        <f>'Detail Table(Forecast)'!O22</f>
        <v>0</v>
      </c>
      <c r="AD24" s="574">
        <f>'Detail Table(Input this !)'!O22</f>
        <v>0</v>
      </c>
      <c r="AE24" s="638">
        <f>'Detail Table(Forecast)'!P22</f>
        <v>0</v>
      </c>
      <c r="AF24" s="574">
        <f>'Detail Table(Input this !)'!Q22</f>
        <v>0</v>
      </c>
      <c r="AG24" s="638">
        <f>'Detail Table(Forecast)'!Q22</f>
        <v>0</v>
      </c>
      <c r="AH24" s="574">
        <f>'Detail Table(Input this !)'!S22</f>
        <v>0</v>
      </c>
      <c r="AI24" s="638">
        <f>'Detail Table(Forecast)'!R22</f>
        <v>0</v>
      </c>
      <c r="AJ24" s="574">
        <f>'Detail Table(Input this !)'!R22</f>
        <v>0</v>
      </c>
      <c r="AK24" s="638">
        <f>'Detail Table(Forecast)'!S22</f>
        <v>0</v>
      </c>
      <c r="AL24" s="574">
        <v>0</v>
      </c>
      <c r="AM24" s="659">
        <f t="shared" si="4"/>
        <v>0</v>
      </c>
      <c r="AN24" s="660">
        <f t="shared" si="4"/>
        <v>0</v>
      </c>
      <c r="AO24" s="659">
        <f t="shared" si="2"/>
        <v>0</v>
      </c>
      <c r="AP24" s="574">
        <f t="shared" si="2"/>
        <v>0</v>
      </c>
      <c r="AQ24" s="638">
        <f>AO24/$AO$13*$AQ$13*0.92</f>
        <v>0</v>
      </c>
      <c r="AR24" s="638">
        <f>AQ24/$AQ$13*$AR$13*0.9</f>
        <v>0</v>
      </c>
      <c r="AS24" s="463"/>
      <c r="AT24" s="463"/>
      <c r="AU24" s="463"/>
      <c r="AV24" s="463"/>
      <c r="AW24" s="463"/>
    </row>
    <row r="25" spans="1:49" s="270" customFormat="1" ht="27.75" customHeight="1">
      <c r="A25" s="875"/>
      <c r="B25" s="859"/>
      <c r="C25" s="28"/>
      <c r="D25" s="847" t="s">
        <v>48</v>
      </c>
      <c r="E25" s="848"/>
      <c r="F25" s="277"/>
      <c r="G25" s="591">
        <f>'[7]2021 Quality Business Plan'!AP25</f>
        <v>8652.204513999086</v>
      </c>
      <c r="H25" s="639">
        <f>'Detail Table(Forecast)'!G28</f>
        <v>386.71510310747789</v>
      </c>
      <c r="I25" s="575">
        <f>'Detail Table(Input this !)'!G28</f>
        <v>0</v>
      </c>
      <c r="J25" s="639">
        <f>'Detail Table(Forecast)'!H28</f>
        <v>574.36427630099968</v>
      </c>
      <c r="K25" s="575">
        <f>'Detail Table(Input this !)'!H28</f>
        <v>0</v>
      </c>
      <c r="L25" s="639">
        <f>'Detail Table(Forecast)'!I28</f>
        <v>557.82124367902657</v>
      </c>
      <c r="M25" s="575">
        <f>'Detail Table(Input this !)'!I28</f>
        <v>0</v>
      </c>
      <c r="N25" s="639">
        <f>'Detail Table(Forecast)'!J28</f>
        <v>596.6518287514175</v>
      </c>
      <c r="O25" s="575">
        <f>'Detail Table(Input this !)'!J28</f>
        <v>0</v>
      </c>
      <c r="P25" s="639">
        <f>'Detail Table(Forecast)'!K28</f>
        <v>594.83891477482086</v>
      </c>
      <c r="Q25" s="575">
        <f>'Detail Table(Input this !)'!K28</f>
        <v>0</v>
      </c>
      <c r="R25" s="639">
        <f>'Detail Table(Forecast)'!L28</f>
        <v>642.29854024908332</v>
      </c>
      <c r="S25" s="575">
        <f>'Detail Table(Input this !)'!L28</f>
        <v>0</v>
      </c>
      <c r="T25" s="648">
        <f t="shared" si="3"/>
        <v>3352.6899068628254</v>
      </c>
      <c r="U25" s="575">
        <f t="shared" si="3"/>
        <v>0</v>
      </c>
      <c r="V25" s="875"/>
      <c r="W25" s="859"/>
      <c r="X25" s="28"/>
      <c r="Y25" s="847" t="s">
        <v>48</v>
      </c>
      <c r="Z25" s="848"/>
      <c r="AA25" s="639">
        <f>'Detail Table(Forecast)'!N28</f>
        <v>677.81193526396282</v>
      </c>
      <c r="AB25" s="575">
        <f>'Detail Table(Input this !)'!N28</f>
        <v>0</v>
      </c>
      <c r="AC25" s="639">
        <f>'Detail Table(Forecast)'!O28</f>
        <v>628.59298456293754</v>
      </c>
      <c r="AD25" s="575">
        <f>'Detail Table(Input this !)'!O28</f>
        <v>0</v>
      </c>
      <c r="AE25" s="639">
        <f>'Detail Table(Forecast)'!P28</f>
        <v>386.77229566411688</v>
      </c>
      <c r="AF25" s="575">
        <f>'Detail Table(Input this !)'!Q28</f>
        <v>0</v>
      </c>
      <c r="AG25" s="639">
        <f>'Detail Table(Forecast)'!Q28</f>
        <v>440.10704398687716</v>
      </c>
      <c r="AH25" s="575">
        <f>'Detail Table(Input this !)'!S28</f>
        <v>0</v>
      </c>
      <c r="AI25" s="639">
        <f>'Detail Table(Forecast)'!R28</f>
        <v>557.1364885061646</v>
      </c>
      <c r="AJ25" s="575">
        <f>'Detail Table(Input this !)'!R28</f>
        <v>0</v>
      </c>
      <c r="AK25" s="639">
        <f>'Detail Table(Forecast)'!S28</f>
        <v>233.28325703801747</v>
      </c>
      <c r="AL25" s="575">
        <v>0</v>
      </c>
      <c r="AM25" s="664">
        <f t="shared" si="4"/>
        <v>2923.7040050220762</v>
      </c>
      <c r="AN25" s="661">
        <f t="shared" si="4"/>
        <v>0</v>
      </c>
      <c r="AO25" s="659">
        <f t="shared" si="2"/>
        <v>6276.3939118849012</v>
      </c>
      <c r="AP25" s="575">
        <f t="shared" si="2"/>
        <v>0</v>
      </c>
      <c r="AQ25" s="639">
        <f>AO25/$AO$13*$AQ$13*0.91</f>
        <v>6282.670305796787</v>
      </c>
      <c r="AR25" s="639">
        <f>AQ25/$AQ$13*$AR$13*0.89</f>
        <v>6150.7342293750562</v>
      </c>
      <c r="AS25" s="463"/>
      <c r="AT25" s="463"/>
      <c r="AU25" s="463"/>
      <c r="AV25" s="463"/>
      <c r="AW25" s="463"/>
    </row>
    <row r="26" spans="1:49" s="270" customFormat="1" ht="27.75" customHeight="1">
      <c r="A26" s="875"/>
      <c r="B26" s="859"/>
      <c r="C26" s="28"/>
      <c r="D26" s="872" t="s">
        <v>49</v>
      </c>
      <c r="E26" s="873"/>
      <c r="F26" s="274"/>
      <c r="G26" s="590">
        <f>'[7]2021 Quality Business Plan'!AP26</f>
        <v>0</v>
      </c>
      <c r="H26" s="640">
        <f>'Detail Table(Forecast)'!G31</f>
        <v>0</v>
      </c>
      <c r="I26" s="574">
        <f>'Detail Table(Input this !)'!G31</f>
        <v>0</v>
      </c>
      <c r="J26" s="640">
        <f>'Detail Table(Forecast)'!H31</f>
        <v>0</v>
      </c>
      <c r="K26" s="574">
        <f>'Detail Table(Input this !)'!H31</f>
        <v>0</v>
      </c>
      <c r="L26" s="640">
        <f>'Detail Table(Forecast)'!I31</f>
        <v>0</v>
      </c>
      <c r="M26" s="574">
        <f>'Detail Table(Input this !)'!I31</f>
        <v>0</v>
      </c>
      <c r="N26" s="640">
        <f>'Detail Table(Forecast)'!J31</f>
        <v>0</v>
      </c>
      <c r="O26" s="574">
        <f>'Detail Table(Input this !)'!J31</f>
        <v>0</v>
      </c>
      <c r="P26" s="640">
        <f>'Detail Table(Forecast)'!K31</f>
        <v>0</v>
      </c>
      <c r="Q26" s="574">
        <f>'Detail Table(Input this !)'!K31</f>
        <v>0</v>
      </c>
      <c r="R26" s="640">
        <f>'Detail Table(Forecast)'!L31</f>
        <v>0</v>
      </c>
      <c r="S26" s="574">
        <f>'Detail Table(Input this !)'!L31</f>
        <v>0</v>
      </c>
      <c r="T26" s="647">
        <f t="shared" si="3"/>
        <v>0</v>
      </c>
      <c r="U26" s="574">
        <f t="shared" si="3"/>
        <v>0</v>
      </c>
      <c r="V26" s="875"/>
      <c r="W26" s="859"/>
      <c r="X26" s="28"/>
      <c r="Y26" s="872" t="s">
        <v>49</v>
      </c>
      <c r="Z26" s="873"/>
      <c r="AA26" s="640">
        <f>'Detail Table(Forecast)'!N31</f>
        <v>0</v>
      </c>
      <c r="AB26" s="574">
        <f>'Detail Table(Input this !)'!N31</f>
        <v>0</v>
      </c>
      <c r="AC26" s="640">
        <f>'Detail Table(Forecast)'!O31</f>
        <v>0</v>
      </c>
      <c r="AD26" s="574">
        <f>'Detail Table(Input this !)'!O31</f>
        <v>0</v>
      </c>
      <c r="AE26" s="640">
        <f>'Detail Table(Forecast)'!P31</f>
        <v>0</v>
      </c>
      <c r="AF26" s="574">
        <f>'Detail Table(Input this !)'!Q31</f>
        <v>0</v>
      </c>
      <c r="AG26" s="640">
        <f>'Detail Table(Forecast)'!Q31</f>
        <v>0</v>
      </c>
      <c r="AH26" s="574">
        <f>'Detail Table(Input this !)'!S31</f>
        <v>0</v>
      </c>
      <c r="AI26" s="640">
        <f>'Detail Table(Forecast)'!R31</f>
        <v>0</v>
      </c>
      <c r="AJ26" s="574">
        <f>'Detail Table(Input this !)'!R31</f>
        <v>0</v>
      </c>
      <c r="AK26" s="640">
        <f>'Detail Table(Forecast)'!S31</f>
        <v>0</v>
      </c>
      <c r="AL26" s="574">
        <v>0</v>
      </c>
      <c r="AM26" s="659">
        <f t="shared" si="4"/>
        <v>0</v>
      </c>
      <c r="AN26" s="660">
        <f t="shared" si="4"/>
        <v>0</v>
      </c>
      <c r="AO26" s="659">
        <f t="shared" si="2"/>
        <v>0</v>
      </c>
      <c r="AP26" s="574">
        <f t="shared" si="2"/>
        <v>0</v>
      </c>
      <c r="AQ26" s="640">
        <f>AO26/$AO$13*$AQ$13*0.92</f>
        <v>0</v>
      </c>
      <c r="AR26" s="640">
        <f>AQ26/AQ13*AR13*0.9</f>
        <v>0</v>
      </c>
      <c r="AS26" s="463"/>
      <c r="AT26" s="463"/>
      <c r="AU26" s="463"/>
      <c r="AV26" s="463"/>
      <c r="AW26" s="463"/>
    </row>
    <row r="27" spans="1:49" s="270" customFormat="1" ht="27.75" customHeight="1">
      <c r="A27" s="875"/>
      <c r="B27" s="860"/>
      <c r="C27" s="29"/>
      <c r="D27" s="814" t="s">
        <v>44</v>
      </c>
      <c r="E27" s="862"/>
      <c r="F27" s="274"/>
      <c r="G27" s="589">
        <f>'[7]2021 Quality Business Plan'!AP27</f>
        <v>6184.8042438377997</v>
      </c>
      <c r="H27" s="640">
        <f>'Detail Table(Forecast)'!G32</f>
        <v>393.07986492399999</v>
      </c>
      <c r="I27" s="572">
        <f>'Detail Table(Input this !)'!G32</f>
        <v>0</v>
      </c>
      <c r="J27" s="640">
        <f>'Detail Table(Forecast)'!H32</f>
        <v>430.76999862399998</v>
      </c>
      <c r="K27" s="572">
        <f>'Detail Table(Input this !)'!H32</f>
        <v>0</v>
      </c>
      <c r="L27" s="640">
        <f>'Detail Table(Forecast)'!I32</f>
        <v>339.49031702399998</v>
      </c>
      <c r="M27" s="572">
        <f>'Detail Table(Input this !)'!I32</f>
        <v>0</v>
      </c>
      <c r="N27" s="640">
        <f>'Detail Table(Forecast)'!J32</f>
        <v>393.84413802400002</v>
      </c>
      <c r="O27" s="572">
        <f>'Detail Table(Input this !)'!J32</f>
        <v>0</v>
      </c>
      <c r="P27" s="640">
        <f>'Detail Table(Forecast)'!K32</f>
        <v>393.84413802400002</v>
      </c>
      <c r="Q27" s="572">
        <f>'Detail Table(Input this !)'!K32</f>
        <v>0</v>
      </c>
      <c r="R27" s="640">
        <f>'Detail Table(Forecast)'!L32</f>
        <v>432.46359422399996</v>
      </c>
      <c r="S27" s="572">
        <f>'Detail Table(Input this !)'!L32</f>
        <v>0</v>
      </c>
      <c r="T27" s="649">
        <f t="shared" si="3"/>
        <v>2383.492050844</v>
      </c>
      <c r="U27" s="572">
        <f t="shared" si="3"/>
        <v>0</v>
      </c>
      <c r="V27" s="875"/>
      <c r="W27" s="860"/>
      <c r="X27" s="29"/>
      <c r="Y27" s="814" t="s">
        <v>44</v>
      </c>
      <c r="Z27" s="862"/>
      <c r="AA27" s="640">
        <f>'Detail Table(Forecast)'!N32</f>
        <v>466.66088932399998</v>
      </c>
      <c r="AB27" s="572">
        <f>'Detail Table(Input this !)'!N32</f>
        <v>0</v>
      </c>
      <c r="AC27" s="640">
        <f>'Detail Table(Forecast)'!O32</f>
        <v>465.237990524</v>
      </c>
      <c r="AD27" s="572">
        <f>'Detail Table(Input this !)'!O32</f>
        <v>0</v>
      </c>
      <c r="AE27" s="640">
        <f>'Detail Table(Forecast)'!P32</f>
        <v>376.280829224</v>
      </c>
      <c r="AF27" s="572">
        <f>'Detail Table(Input this !)'!Q32</f>
        <v>0</v>
      </c>
      <c r="AG27" s="640">
        <f>'Detail Table(Forecast)'!Q32</f>
        <v>359.511494524</v>
      </c>
      <c r="AH27" s="572">
        <f>'Detail Table(Input this !)'!S32</f>
        <v>0</v>
      </c>
      <c r="AI27" s="640">
        <f>'Detail Table(Forecast)'!R32</f>
        <v>372.159065924</v>
      </c>
      <c r="AJ27" s="572">
        <f>'Detail Table(Input this !)'!R32</f>
        <v>0</v>
      </c>
      <c r="AK27" s="640">
        <f>'Detail Table(Forecast)'!S32</f>
        <v>393.07986492399999</v>
      </c>
      <c r="AL27" s="572">
        <v>0</v>
      </c>
      <c r="AM27" s="659">
        <f t="shared" si="4"/>
        <v>2432.930134444</v>
      </c>
      <c r="AN27" s="657">
        <f t="shared" si="4"/>
        <v>0</v>
      </c>
      <c r="AO27" s="659">
        <f t="shared" si="2"/>
        <v>4816.422185288</v>
      </c>
      <c r="AP27" s="572">
        <f t="shared" si="2"/>
        <v>0</v>
      </c>
      <c r="AQ27" s="640">
        <f>AO27/$AO$13*$AQ$13*0.9</f>
        <v>4768.2579634351205</v>
      </c>
      <c r="AR27" s="640">
        <f>AQ27/AQ13*AR13*0.82</f>
        <v>4300.9686830184792</v>
      </c>
      <c r="AS27" s="463"/>
      <c r="AT27" s="463"/>
      <c r="AU27" s="463"/>
      <c r="AV27" s="463"/>
      <c r="AW27" s="463"/>
    </row>
    <row r="28" spans="1:49" s="270" customFormat="1" ht="27.75" customHeight="1">
      <c r="A28" s="875"/>
      <c r="B28" s="30"/>
      <c r="C28" s="866" t="s">
        <v>50</v>
      </c>
      <c r="D28" s="879"/>
      <c r="E28" s="879"/>
      <c r="F28" s="275"/>
      <c r="G28" s="595">
        <f>'[7]2021 Quality Business Plan'!AP28</f>
        <v>15122.699208413658</v>
      </c>
      <c r="H28" s="643">
        <f>H16+H17+H23</f>
        <v>795.81884765481448</v>
      </c>
      <c r="I28" s="576">
        <f>I16+I17+I23</f>
        <v>0</v>
      </c>
      <c r="J28" s="643">
        <f t="shared" ref="J28:R28" si="9">J16+J17+J23</f>
        <v>1022.8329668253516</v>
      </c>
      <c r="K28" s="576">
        <f>K16+K17+K23</f>
        <v>0</v>
      </c>
      <c r="L28" s="643">
        <f t="shared" si="9"/>
        <v>911.46447886375131</v>
      </c>
      <c r="M28" s="576">
        <f t="shared" si="9"/>
        <v>0</v>
      </c>
      <c r="N28" s="643">
        <f t="shared" si="9"/>
        <v>1006.9196889693928</v>
      </c>
      <c r="O28" s="576">
        <f t="shared" si="9"/>
        <v>0</v>
      </c>
      <c r="P28" s="643">
        <f t="shared" si="9"/>
        <v>1005.1067749927962</v>
      </c>
      <c r="Q28" s="576">
        <f t="shared" si="9"/>
        <v>0</v>
      </c>
      <c r="R28" s="643">
        <f t="shared" si="9"/>
        <v>1094.2110806449109</v>
      </c>
      <c r="S28" s="576">
        <f>S16+S17+S23</f>
        <v>0</v>
      </c>
      <c r="T28" s="645">
        <f t="shared" si="3"/>
        <v>5836.3538379510173</v>
      </c>
      <c r="U28" s="576">
        <f t="shared" si="3"/>
        <v>0</v>
      </c>
      <c r="V28" s="875"/>
      <c r="W28" s="30"/>
      <c r="X28" s="866" t="s">
        <v>50</v>
      </c>
      <c r="Y28" s="879"/>
      <c r="Z28" s="879"/>
      <c r="AA28" s="643">
        <f>AA16+AA17+AA23</f>
        <v>1166.0643234024587</v>
      </c>
      <c r="AB28" s="576">
        <f>AB16+AB17+AB23</f>
        <v>0</v>
      </c>
      <c r="AC28" s="643">
        <f t="shared" ref="AC28:AK28" si="10">AC16+AC17+AC23</f>
        <v>1114.8491147435363</v>
      </c>
      <c r="AD28" s="576">
        <f t="shared" si="10"/>
        <v>0</v>
      </c>
      <c r="AE28" s="643">
        <f t="shared" si="10"/>
        <v>779.66545206824253</v>
      </c>
      <c r="AF28" s="576">
        <f>AF16+AF17+AF23</f>
        <v>0</v>
      </c>
      <c r="AG28" s="643">
        <f t="shared" si="10"/>
        <v>813.34143730317908</v>
      </c>
      <c r="AH28" s="576">
        <f>AH16+AH17+AH23</f>
        <v>0</v>
      </c>
      <c r="AI28" s="643">
        <f t="shared" si="10"/>
        <v>943.26741180418503</v>
      </c>
      <c r="AJ28" s="576">
        <f>AJ16+AJ17+AJ23</f>
        <v>0</v>
      </c>
      <c r="AK28" s="643">
        <f t="shared" si="10"/>
        <v>643.4356453083501</v>
      </c>
      <c r="AL28" s="576">
        <v>0</v>
      </c>
      <c r="AM28" s="665">
        <f t="shared" si="4"/>
        <v>5460.6233846299519</v>
      </c>
      <c r="AN28" s="594">
        <f t="shared" si="4"/>
        <v>0</v>
      </c>
      <c r="AO28" s="665">
        <f t="shared" si="2"/>
        <v>11296.977222580968</v>
      </c>
      <c r="AP28" s="576">
        <f t="shared" si="2"/>
        <v>0</v>
      </c>
      <c r="AQ28" s="643">
        <f>AQ16+AQ17+AQ23</f>
        <v>11284.488596698735</v>
      </c>
      <c r="AR28" s="643">
        <f>AR16+AR17+AR23</f>
        <v>10718.895927015586</v>
      </c>
      <c r="AS28" s="463"/>
      <c r="AT28" s="465"/>
      <c r="AU28" s="463"/>
      <c r="AV28" s="463"/>
      <c r="AW28" s="463"/>
    </row>
    <row r="29" spans="1:49" s="270" customFormat="1" ht="27.75" customHeight="1" thickBot="1">
      <c r="A29" s="876"/>
      <c r="B29" s="31"/>
      <c r="C29" s="849" t="s">
        <v>51</v>
      </c>
      <c r="D29" s="815"/>
      <c r="E29" s="815"/>
      <c r="F29" s="278"/>
      <c r="G29" s="596">
        <f>'[7]2021 Quality Business Plan'!AP29</f>
        <v>4.4371513433524021E-4</v>
      </c>
      <c r="H29" s="327">
        <f>(H28/H13/1000)</f>
        <v>5.9522726077398231E-4</v>
      </c>
      <c r="I29" s="328" t="e">
        <f>(I28/I13/1000)</f>
        <v>#DIV/0!</v>
      </c>
      <c r="J29" s="327">
        <f t="shared" ref="J29:U29" si="11">(J28/J13/1000)</f>
        <v>6.7647682991094679E-4</v>
      </c>
      <c r="K29" s="328" t="e">
        <f t="shared" si="11"/>
        <v>#DIV/0!</v>
      </c>
      <c r="L29" s="327">
        <f t="shared" si="11"/>
        <v>5.7578299359681078E-4</v>
      </c>
      <c r="M29" s="328" t="e">
        <f t="shared" si="11"/>
        <v>#DIV/0!</v>
      </c>
      <c r="N29" s="327">
        <f t="shared" si="11"/>
        <v>9.0306698562277383E-4</v>
      </c>
      <c r="O29" s="328" t="e">
        <f t="shared" si="11"/>
        <v>#DIV/0!</v>
      </c>
      <c r="P29" s="327">
        <f t="shared" si="11"/>
        <v>5.0305644394033847E-4</v>
      </c>
      <c r="Q29" s="328" t="e">
        <f t="shared" si="11"/>
        <v>#DIV/0!</v>
      </c>
      <c r="R29" s="327">
        <f t="shared" si="11"/>
        <v>7.1517064094438621E-4</v>
      </c>
      <c r="S29" s="329" t="e">
        <f t="shared" si="11"/>
        <v>#DIV/0!</v>
      </c>
      <c r="T29" s="327">
        <f t="shared" si="11"/>
        <v>6.4312438985686133E-4</v>
      </c>
      <c r="U29" s="330" t="e">
        <f t="shared" si="11"/>
        <v>#DIV/0!</v>
      </c>
      <c r="V29" s="876"/>
      <c r="W29" s="31"/>
      <c r="X29" s="849" t="s">
        <v>51</v>
      </c>
      <c r="Y29" s="815"/>
      <c r="Z29" s="815"/>
      <c r="AA29" s="327">
        <f t="shared" ref="AA29:AP29" si="12">(AA28/AA13/1000)</f>
        <v>7.0542306315938218E-4</v>
      </c>
      <c r="AB29" s="328" t="e">
        <f t="shared" si="12"/>
        <v>#DIV/0!</v>
      </c>
      <c r="AC29" s="327">
        <f t="shared" si="12"/>
        <v>7.119087578183502E-4</v>
      </c>
      <c r="AD29" s="328" t="e">
        <f t="shared" si="12"/>
        <v>#DIV/0!</v>
      </c>
      <c r="AE29" s="327">
        <f t="shared" si="12"/>
        <v>5.215153525540084E-4</v>
      </c>
      <c r="AF29" s="328" t="e">
        <f t="shared" si="12"/>
        <v>#DIV/0!</v>
      </c>
      <c r="AG29" s="327">
        <f t="shared" si="12"/>
        <v>6.6017973807076227E-4</v>
      </c>
      <c r="AH29" s="328" t="e">
        <f t="shared" si="12"/>
        <v>#DIV/0!</v>
      </c>
      <c r="AI29" s="327">
        <f t="shared" si="12"/>
        <v>7.6563913295794243E-4</v>
      </c>
      <c r="AJ29" s="328" t="e">
        <f t="shared" si="12"/>
        <v>#DIV/0!</v>
      </c>
      <c r="AK29" s="327">
        <f t="shared" si="12"/>
        <v>4.8125328744080039E-4</v>
      </c>
      <c r="AL29" s="328" t="e">
        <f t="shared" si="12"/>
        <v>#DIV/0!</v>
      </c>
      <c r="AM29" s="662">
        <f t="shared" si="12"/>
        <v>6.4129458421960687E-4</v>
      </c>
      <c r="AN29" s="672" t="e">
        <f t="shared" si="12"/>
        <v>#DIV/0!</v>
      </c>
      <c r="AO29" s="675">
        <f t="shared" si="12"/>
        <v>6.4223861413194815E-4</v>
      </c>
      <c r="AP29" s="343" t="e">
        <f t="shared" si="12"/>
        <v>#DIV/0!</v>
      </c>
      <c r="AQ29" s="327">
        <f>(AQ28/AQ13/1000)</f>
        <v>5.8320784519606881E-4</v>
      </c>
      <c r="AR29" s="327">
        <f>(AR28/AR13/1000)</f>
        <v>5.0361521746557648E-4</v>
      </c>
      <c r="AS29" s="463"/>
      <c r="AT29" s="463"/>
      <c r="AU29" s="463"/>
      <c r="AV29" s="463"/>
      <c r="AW29" s="463"/>
    </row>
    <row r="30" spans="1:49" s="270" customFormat="1" ht="27.75" customHeight="1" thickBot="1">
      <c r="A30" s="855" t="s">
        <v>66</v>
      </c>
      <c r="B30" s="856"/>
      <c r="C30" s="856"/>
      <c r="D30" s="856"/>
      <c r="E30" s="857"/>
      <c r="F30" s="279"/>
      <c r="G30" s="331"/>
      <c r="H30" s="331"/>
      <c r="I30" s="331"/>
      <c r="J30" s="331"/>
      <c r="K30" s="331"/>
      <c r="L30" s="331"/>
      <c r="M30" s="332"/>
      <c r="N30" s="332"/>
      <c r="O30" s="332"/>
      <c r="P30" s="331"/>
      <c r="Q30" s="331"/>
      <c r="R30" s="332"/>
      <c r="S30" s="332"/>
      <c r="T30" s="332"/>
      <c r="U30" s="332"/>
      <c r="V30" s="855" t="s">
        <v>66</v>
      </c>
      <c r="W30" s="856"/>
      <c r="X30" s="856"/>
      <c r="Y30" s="856"/>
      <c r="Z30" s="857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456"/>
      <c r="AN30" s="457" t="s">
        <v>168</v>
      </c>
      <c r="AO30" s="458">
        <f>(AO29-G29)/G29</f>
        <v>0.44741200927060881</v>
      </c>
      <c r="AP30" s="457" t="s">
        <v>168</v>
      </c>
      <c r="AQ30" s="459">
        <f>(AO29-G29)/G29</f>
        <v>0.44741200927060881</v>
      </c>
      <c r="AR30" s="460">
        <f>(AR29-AQ29)/AQ29</f>
        <v>-0.13647386328236732</v>
      </c>
      <c r="AS30" s="463"/>
      <c r="AT30" s="463"/>
      <c r="AU30" s="463"/>
      <c r="AV30" s="463"/>
      <c r="AW30" s="463"/>
    </row>
    <row r="31" spans="1:49" s="270" customFormat="1" ht="24" customHeight="1">
      <c r="A31" s="2"/>
      <c r="B31" s="3"/>
      <c r="C31" s="4"/>
      <c r="D31" s="4"/>
      <c r="E31" s="5"/>
      <c r="F31" s="280"/>
      <c r="G31" s="473" t="s">
        <v>147</v>
      </c>
      <c r="H31" s="442" t="s">
        <v>151</v>
      </c>
      <c r="I31" s="443" t="s">
        <v>152</v>
      </c>
      <c r="J31" s="333" t="s">
        <v>28</v>
      </c>
      <c r="K31" s="333" t="s">
        <v>27</v>
      </c>
      <c r="L31" s="333" t="s">
        <v>28</v>
      </c>
      <c r="M31" s="333" t="s">
        <v>27</v>
      </c>
      <c r="N31" s="333" t="s">
        <v>28</v>
      </c>
      <c r="O31" s="333" t="s">
        <v>27</v>
      </c>
      <c r="P31" s="333" t="s">
        <v>28</v>
      </c>
      <c r="Q31" s="333" t="s">
        <v>27</v>
      </c>
      <c r="R31" s="333" t="s">
        <v>28</v>
      </c>
      <c r="S31" s="333" t="s">
        <v>27</v>
      </c>
      <c r="T31" s="286" t="s">
        <v>28</v>
      </c>
      <c r="U31" s="287" t="s">
        <v>27</v>
      </c>
      <c r="V31" s="2"/>
      <c r="W31" s="3"/>
      <c r="X31" s="4"/>
      <c r="Y31" s="4"/>
      <c r="Z31" s="5"/>
      <c r="AA31" s="286" t="s">
        <v>69</v>
      </c>
      <c r="AB31" s="333" t="s">
        <v>27</v>
      </c>
      <c r="AC31" s="333" t="s">
        <v>28</v>
      </c>
      <c r="AD31" s="333" t="s">
        <v>27</v>
      </c>
      <c r="AE31" s="333" t="s">
        <v>28</v>
      </c>
      <c r="AF31" s="333" t="s">
        <v>27</v>
      </c>
      <c r="AG31" s="333" t="s">
        <v>28</v>
      </c>
      <c r="AH31" s="333" t="s">
        <v>27</v>
      </c>
      <c r="AI31" s="333" t="s">
        <v>28</v>
      </c>
      <c r="AJ31" s="333" t="s">
        <v>27</v>
      </c>
      <c r="AK31" s="333" t="s">
        <v>28</v>
      </c>
      <c r="AL31" s="333" t="s">
        <v>27</v>
      </c>
      <c r="AM31" s="286" t="s">
        <v>28</v>
      </c>
      <c r="AN31" s="338" t="s">
        <v>27</v>
      </c>
      <c r="AO31" s="286" t="s">
        <v>28</v>
      </c>
      <c r="AP31" s="338" t="s">
        <v>27</v>
      </c>
      <c r="AQ31" s="285" t="s">
        <v>33</v>
      </c>
      <c r="AR31" s="339" t="s">
        <v>33</v>
      </c>
      <c r="AS31" s="463"/>
      <c r="AT31" s="463"/>
      <c r="AU31" s="463"/>
      <c r="AV31" s="463"/>
      <c r="AW31" s="463"/>
    </row>
    <row r="32" spans="1:49" s="270" customFormat="1" ht="27.75" customHeight="1">
      <c r="A32" s="850" t="s">
        <v>52</v>
      </c>
      <c r="B32" s="851"/>
      <c r="C32" s="807" t="s">
        <v>53</v>
      </c>
      <c r="D32" s="866"/>
      <c r="E32" s="867"/>
      <c r="F32" s="281"/>
      <c r="G32" s="597">
        <f>'[7]2021 Quality Business Plan'!AP32</f>
        <v>16702</v>
      </c>
      <c r="H32" s="435">
        <f>'Detail Table(Forecast)'!G57</f>
        <v>2124</v>
      </c>
      <c r="I32" s="453">
        <f>'Detail Table(Input this !)'!G57</f>
        <v>0</v>
      </c>
      <c r="J32" s="435">
        <f>'Detail Table(Forecast)'!H57</f>
        <v>2346</v>
      </c>
      <c r="K32" s="400">
        <f>'Detail Table(Input this !)'!H57</f>
        <v>0</v>
      </c>
      <c r="L32" s="435">
        <f>'Detail Table(Forecast)'!I57</f>
        <v>1876</v>
      </c>
      <c r="M32" s="400">
        <f>'Detail Table(Input this !)'!I57</f>
        <v>0</v>
      </c>
      <c r="N32" s="435">
        <f>'Detail Table(Forecast)'!J57</f>
        <v>2177</v>
      </c>
      <c r="O32" s="400">
        <f>'Detail Table(Input this !)'!J57</f>
        <v>0</v>
      </c>
      <c r="P32" s="435">
        <f>'Detail Table(Forecast)'!K57</f>
        <v>2177</v>
      </c>
      <c r="Q32" s="400">
        <f>'Detail Table(Input this !)'!K57</f>
        <v>0</v>
      </c>
      <c r="R32" s="435">
        <f>'Detail Table(Forecast)'!L57</f>
        <v>2578</v>
      </c>
      <c r="S32" s="451">
        <f>'Detail Table(Input this !)'!L57</f>
        <v>0</v>
      </c>
      <c r="T32" s="401">
        <f>SUM(H32,J32,L32,N32,P32,R32)</f>
        <v>13278</v>
      </c>
      <c r="U32" s="402">
        <f>SUM(I32,K32,M32,O32,Q32,S32)</f>
        <v>0</v>
      </c>
      <c r="V32" s="850" t="s">
        <v>52</v>
      </c>
      <c r="W32" s="851"/>
      <c r="X32" s="807" t="s">
        <v>53</v>
      </c>
      <c r="Y32" s="866"/>
      <c r="Z32" s="867"/>
      <c r="AA32" s="435">
        <f>'Detail Table(Forecast)'!N57</f>
        <v>2862</v>
      </c>
      <c r="AB32" s="400">
        <f>'Detail Table(Input this !)'!N57</f>
        <v>0</v>
      </c>
      <c r="AC32" s="435">
        <f>'Detail Table(Forecast)'!O57</f>
        <v>2786</v>
      </c>
      <c r="AD32" s="400">
        <f>'Detail Table(Input this !)'!O57</f>
        <v>0</v>
      </c>
      <c r="AE32" s="435">
        <f>'Detail Table(Forecast)'!P57</f>
        <v>2202</v>
      </c>
      <c r="AF32" s="400">
        <f>'Detail Table(Input this !)'!P57</f>
        <v>0</v>
      </c>
      <c r="AG32" s="435">
        <f>'Detail Table(Forecast)'!Q57</f>
        <v>1819</v>
      </c>
      <c r="AH32" s="400">
        <f>'Detail Table(Input this !)'!Q57</f>
        <v>0</v>
      </c>
      <c r="AI32" s="435">
        <f>'Detail Table(Forecast)'!R57</f>
        <v>1852</v>
      </c>
      <c r="AJ32" s="400">
        <f>'Detail Table(Input this !)'!R57</f>
        <v>0</v>
      </c>
      <c r="AK32" s="435">
        <f>'Detail Table(Forecast)'!S57</f>
        <v>2263</v>
      </c>
      <c r="AL32" s="451">
        <f>'Detail Table(Input this !)'!S57</f>
        <v>0</v>
      </c>
      <c r="AM32" s="401">
        <f>SUM(AA32,AC32,AE32,AG32,AI32,AK32)</f>
        <v>13784</v>
      </c>
      <c r="AN32" s="417">
        <f>SUM(AB32,AD32,AF32,AH32,AJ32,AL32)</f>
        <v>0</v>
      </c>
      <c r="AO32" s="401">
        <f>T32+AM32</f>
        <v>27062</v>
      </c>
      <c r="AP32" s="417">
        <f>U32+AN32</f>
        <v>0</v>
      </c>
      <c r="AQ32" s="418">
        <f>AO32/AO13*AQ13*0.9</f>
        <v>26791.38</v>
      </c>
      <c r="AR32" s="419">
        <f>AQ32*1.1</f>
        <v>29470.518000000004</v>
      </c>
      <c r="AS32" s="463"/>
      <c r="AT32" s="463"/>
      <c r="AU32" s="463"/>
      <c r="AV32" s="463"/>
      <c r="AW32" s="463"/>
    </row>
    <row r="33" spans="1:49" s="270" customFormat="1" ht="39" customHeight="1">
      <c r="A33" s="852"/>
      <c r="B33" s="851"/>
      <c r="C33" s="863" t="s">
        <v>54</v>
      </c>
      <c r="D33" s="864"/>
      <c r="E33" s="865"/>
      <c r="F33" s="282"/>
      <c r="G33" s="598">
        <f>'[7]2021 Quality Business Plan'!AP33</f>
        <v>676.33275000000003</v>
      </c>
      <c r="H33" s="650">
        <f>'Detail Table(Forecast)'!G38</f>
        <v>210.21170898074308</v>
      </c>
      <c r="I33" s="577">
        <f>'Detail Table(Input this !)'!G41</f>
        <v>0</v>
      </c>
      <c r="J33" s="650">
        <f>'Detail Table(Forecast)'!H38</f>
        <v>204.15712079920596</v>
      </c>
      <c r="K33" s="577">
        <f>'Detail Table(Input this !)'!H41</f>
        <v>0</v>
      </c>
      <c r="L33" s="650">
        <f>'Detail Table(Forecast)'!I38</f>
        <v>207.948198038551</v>
      </c>
      <c r="M33" s="577">
        <f>'Detail Table(Input this !)'!I41</f>
        <v>0</v>
      </c>
      <c r="N33" s="650">
        <f>'Detail Table(Forecast)'!J38</f>
        <v>204.15712079920596</v>
      </c>
      <c r="O33" s="403">
        <v>0</v>
      </c>
      <c r="P33" s="650">
        <f>'Detail Table(Forecast)'!K38</f>
        <v>207.948198038551</v>
      </c>
      <c r="Q33" s="403">
        <v>0</v>
      </c>
      <c r="R33" s="650">
        <f>'Detail Table(Forecast)'!L38</f>
        <v>207.3163518319935</v>
      </c>
      <c r="S33" s="452">
        <v>0</v>
      </c>
      <c r="T33" s="676">
        <f>SUM(H33,J33,L33,N33,P33,R33)</f>
        <v>1241.7386984882503</v>
      </c>
      <c r="U33" s="404">
        <f>SUM(I33,K33,M33,O33,Q33,S33)</f>
        <v>0</v>
      </c>
      <c r="V33" s="852"/>
      <c r="W33" s="851"/>
      <c r="X33" s="863" t="s">
        <v>54</v>
      </c>
      <c r="Y33" s="864"/>
      <c r="Z33" s="865"/>
      <c r="AA33" s="650">
        <f>'Detail Table(Forecast)'!N38</f>
        <v>228.96113915224859</v>
      </c>
      <c r="AB33" s="577">
        <v>0</v>
      </c>
      <c r="AC33" s="650">
        <f>'Detail Table(Forecast)'!O38</f>
        <v>233.78137366071695</v>
      </c>
      <c r="AD33" s="577">
        <v>0</v>
      </c>
      <c r="AE33" s="650">
        <f>'Detail Table(Forecast)'!P38</f>
        <v>236.1914909149512</v>
      </c>
      <c r="AF33" s="577">
        <v>0</v>
      </c>
      <c r="AG33" s="650">
        <f>'Detail Table(Forecast)'!Q38</f>
        <v>219.04057228614681</v>
      </c>
      <c r="AH33" s="403">
        <v>0</v>
      </c>
      <c r="AI33" s="650">
        <f>'Detail Table(Forecast)'!R38</f>
        <v>141.53388267660839</v>
      </c>
      <c r="AJ33" s="403">
        <v>0</v>
      </c>
      <c r="AK33" s="650">
        <f>'Detail Table(Forecast)'!S38</f>
        <v>161.05098381421266</v>
      </c>
      <c r="AL33" s="452">
        <v>0</v>
      </c>
      <c r="AM33" s="676">
        <f>SUM(AA33,AC33,AE33,AG33,AI33,AK33)</f>
        <v>1220.5594425048846</v>
      </c>
      <c r="AN33" s="404">
        <f>SUM(AB33,AD33,AF33,AH33,AJ33,AL33)</f>
        <v>0</v>
      </c>
      <c r="AO33" s="676">
        <f>T33+AM33</f>
        <v>2462.2981409931349</v>
      </c>
      <c r="AP33" s="404">
        <f>U33+AN33</f>
        <v>0</v>
      </c>
      <c r="AQ33" s="420">
        <f>AO33/AO13*AQ13*0.9</f>
        <v>2437.6751595832038</v>
      </c>
      <c r="AR33" s="421">
        <f>AQ33*1.1</f>
        <v>2681.4426755415243</v>
      </c>
      <c r="AS33" s="463"/>
      <c r="AT33" s="463"/>
      <c r="AU33" s="463"/>
      <c r="AV33" s="463"/>
      <c r="AW33" s="463"/>
    </row>
    <row r="34" spans="1:49" s="270" customFormat="1" ht="27.75" customHeight="1" thickBot="1">
      <c r="A34" s="853"/>
      <c r="B34" s="854"/>
      <c r="C34" s="882" t="s">
        <v>55</v>
      </c>
      <c r="D34" s="883"/>
      <c r="E34" s="884"/>
      <c r="F34" s="283"/>
      <c r="G34" s="334">
        <f>'[7]2021 Quality Business Plan'!AP34</f>
        <v>4.0494117470961563E-5</v>
      </c>
      <c r="H34" s="340">
        <f>(H33/H32/1000)</f>
        <v>9.8969731158541935E-5</v>
      </c>
      <c r="I34" s="341" t="e">
        <f>(I33/I32/1000)</f>
        <v>#DIV/0!</v>
      </c>
      <c r="J34" s="341">
        <f t="shared" ref="J34:U34" si="13">(J33/J32/1000)</f>
        <v>8.7023495651835435E-5</v>
      </c>
      <c r="K34" s="341" t="e">
        <f t="shared" si="13"/>
        <v>#DIV/0!</v>
      </c>
      <c r="L34" s="341">
        <f t="shared" si="13"/>
        <v>1.1084658744059221E-4</v>
      </c>
      <c r="M34" s="341" t="e">
        <f t="shared" si="13"/>
        <v>#DIV/0!</v>
      </c>
      <c r="N34" s="341">
        <f t="shared" si="13"/>
        <v>9.3779109232524553E-5</v>
      </c>
      <c r="O34" s="341" t="e">
        <f t="shared" si="13"/>
        <v>#DIV/0!</v>
      </c>
      <c r="P34" s="341">
        <f t="shared" si="13"/>
        <v>9.5520531942375287E-5</v>
      </c>
      <c r="Q34" s="341" t="e">
        <f t="shared" si="13"/>
        <v>#DIV/0!</v>
      </c>
      <c r="R34" s="341">
        <f t="shared" si="13"/>
        <v>8.0417514287041704E-5</v>
      </c>
      <c r="S34" s="341" t="e">
        <f t="shared" si="13"/>
        <v>#DIV/0!</v>
      </c>
      <c r="T34" s="340">
        <f t="shared" si="13"/>
        <v>9.351850417896146E-5</v>
      </c>
      <c r="U34" s="342" t="e">
        <f t="shared" si="13"/>
        <v>#DIV/0!</v>
      </c>
      <c r="V34" s="853"/>
      <c r="W34" s="854"/>
      <c r="X34" s="882" t="s">
        <v>55</v>
      </c>
      <c r="Y34" s="883"/>
      <c r="Z34" s="884"/>
      <c r="AA34" s="340">
        <f t="shared" ref="AA34:AR34" si="14">(AA33/AA32/1000)</f>
        <v>8.0000398026641722E-5</v>
      </c>
      <c r="AB34" s="341" t="e">
        <f t="shared" si="14"/>
        <v>#DIV/0!</v>
      </c>
      <c r="AC34" s="341">
        <f t="shared" si="14"/>
        <v>8.3912912297457636E-5</v>
      </c>
      <c r="AD34" s="341" t="e">
        <f t="shared" si="14"/>
        <v>#DIV/0!</v>
      </c>
      <c r="AE34" s="341">
        <f t="shared" si="14"/>
        <v>1.0726225745456458E-4</v>
      </c>
      <c r="AF34" s="341" t="e">
        <f t="shared" si="14"/>
        <v>#DIV/0!</v>
      </c>
      <c r="AG34" s="341">
        <f t="shared" si="14"/>
        <v>1.2041812660041057E-4</v>
      </c>
      <c r="AH34" s="341" t="e">
        <f t="shared" si="14"/>
        <v>#DIV/0!</v>
      </c>
      <c r="AI34" s="341">
        <f t="shared" si="14"/>
        <v>7.6422182870738878E-5</v>
      </c>
      <c r="AJ34" s="341" t="e">
        <f t="shared" si="14"/>
        <v>#DIV/0!</v>
      </c>
      <c r="AK34" s="341">
        <f t="shared" si="14"/>
        <v>7.1167027757053754E-5</v>
      </c>
      <c r="AL34" s="341" t="e">
        <f t="shared" si="14"/>
        <v>#DIV/0!</v>
      </c>
      <c r="AM34" s="340">
        <f t="shared" si="14"/>
        <v>8.8549001922873219E-5</v>
      </c>
      <c r="AN34" s="343" t="e">
        <f t="shared" si="14"/>
        <v>#DIV/0!</v>
      </c>
      <c r="AO34" s="340">
        <f t="shared" si="14"/>
        <v>9.098729365875156E-5</v>
      </c>
      <c r="AP34" s="343" t="e">
        <f t="shared" si="14"/>
        <v>#DIV/0!</v>
      </c>
      <c r="AQ34" s="344">
        <f t="shared" si="14"/>
        <v>9.0987293658751573E-5</v>
      </c>
      <c r="AR34" s="345">
        <f t="shared" si="14"/>
        <v>9.098729365875156E-5</v>
      </c>
      <c r="AS34" s="463"/>
      <c r="AT34" s="463"/>
      <c r="AU34" s="463"/>
      <c r="AV34" s="463"/>
      <c r="AW34" s="463"/>
    </row>
    <row r="35" spans="1:49" s="270" customFormat="1" ht="27.75" customHeight="1" thickBot="1">
      <c r="A35" s="25" t="s">
        <v>56</v>
      </c>
      <c r="B35" s="6"/>
      <c r="C35" s="7"/>
      <c r="D35" s="8"/>
      <c r="E35" s="9"/>
      <c r="F35" s="284"/>
      <c r="G35" s="407">
        <f>G16+G17+G23+G33</f>
        <v>15799.03195841366</v>
      </c>
      <c r="H35" s="578">
        <f>H16+H17+H23+H33</f>
        <v>1006.0305566355576</v>
      </c>
      <c r="I35" s="578">
        <f t="shared" ref="I35:U35" si="15">I16+I17+I23+I33</f>
        <v>0</v>
      </c>
      <c r="J35" s="408">
        <f t="shared" si="15"/>
        <v>1226.9900876245576</v>
      </c>
      <c r="K35" s="578">
        <f t="shared" si="15"/>
        <v>0</v>
      </c>
      <c r="L35" s="408">
        <f t="shared" si="15"/>
        <v>1119.4126769023023</v>
      </c>
      <c r="M35" s="578">
        <f t="shared" si="15"/>
        <v>0</v>
      </c>
      <c r="N35" s="408">
        <f t="shared" si="15"/>
        <v>1211.0768097685989</v>
      </c>
      <c r="O35" s="578">
        <f t="shared" si="15"/>
        <v>0</v>
      </c>
      <c r="P35" s="408">
        <f t="shared" si="15"/>
        <v>1213.0549730313471</v>
      </c>
      <c r="Q35" s="578">
        <f t="shared" si="15"/>
        <v>0</v>
      </c>
      <c r="R35" s="408">
        <f t="shared" si="15"/>
        <v>1301.5274324769043</v>
      </c>
      <c r="S35" s="578">
        <f t="shared" si="15"/>
        <v>0</v>
      </c>
      <c r="T35" s="408">
        <f t="shared" si="15"/>
        <v>7078.0925364392679</v>
      </c>
      <c r="U35" s="409">
        <f t="shared" si="15"/>
        <v>0</v>
      </c>
      <c r="V35" s="25" t="s">
        <v>67</v>
      </c>
      <c r="W35" s="6"/>
      <c r="X35" s="7"/>
      <c r="Y35" s="8"/>
      <c r="Z35" s="9"/>
      <c r="AA35" s="405">
        <f>AA16+AA17+AA23+AA33</f>
        <v>1395.0254625547072</v>
      </c>
      <c r="AB35" s="578">
        <f t="shared" ref="AB35:AP35" si="16">AB16+AB17+AB23+AB33</f>
        <v>0</v>
      </c>
      <c r="AC35" s="405">
        <f t="shared" si="16"/>
        <v>1348.6304884042534</v>
      </c>
      <c r="AD35" s="578">
        <f t="shared" si="16"/>
        <v>0</v>
      </c>
      <c r="AE35" s="405">
        <f t="shared" si="16"/>
        <v>1015.8569429831937</v>
      </c>
      <c r="AF35" s="406">
        <f t="shared" si="16"/>
        <v>0</v>
      </c>
      <c r="AG35" s="405">
        <f t="shared" si="16"/>
        <v>1032.3820095893259</v>
      </c>
      <c r="AH35" s="406">
        <f t="shared" si="16"/>
        <v>0</v>
      </c>
      <c r="AI35" s="405">
        <f t="shared" si="16"/>
        <v>1084.8012944807933</v>
      </c>
      <c r="AJ35" s="406">
        <f t="shared" si="16"/>
        <v>0</v>
      </c>
      <c r="AK35" s="405">
        <f t="shared" si="16"/>
        <v>804.48662912256282</v>
      </c>
      <c r="AL35" s="406">
        <f t="shared" si="16"/>
        <v>0</v>
      </c>
      <c r="AM35" s="870">
        <f t="shared" si="16"/>
        <v>6681.1828271348368</v>
      </c>
      <c r="AN35" s="871">
        <f t="shared" si="16"/>
        <v>0</v>
      </c>
      <c r="AO35" s="868">
        <f t="shared" si="16"/>
        <v>13759.275363574103</v>
      </c>
      <c r="AP35" s="869">
        <f t="shared" si="16"/>
        <v>0</v>
      </c>
      <c r="AQ35" s="422">
        <f>AQ16+AQ17+AQ23+AQ33</f>
        <v>13722.163756281938</v>
      </c>
      <c r="AR35" s="423">
        <f>AR16+AR17+AR23+AR33</f>
        <v>13400.338602557111</v>
      </c>
      <c r="AS35" s="463"/>
      <c r="AT35" s="463"/>
      <c r="AU35" s="463"/>
      <c r="AV35" s="463"/>
      <c r="AW35" s="463"/>
    </row>
    <row r="36" spans="1:49" s="270" customFormat="1" ht="24" customHeight="1">
      <c r="A36" s="32"/>
      <c r="B36" s="33"/>
      <c r="C36" s="34"/>
      <c r="D36" s="34"/>
      <c r="E36" s="34"/>
      <c r="F36" s="285"/>
      <c r="G36" s="285" t="s">
        <v>27</v>
      </c>
      <c r="H36" s="861" t="s">
        <v>27</v>
      </c>
      <c r="I36" s="811"/>
      <c r="J36" s="810" t="s">
        <v>27</v>
      </c>
      <c r="K36" s="811"/>
      <c r="L36" s="810" t="s">
        <v>27</v>
      </c>
      <c r="M36" s="811"/>
      <c r="N36" s="810" t="s">
        <v>27</v>
      </c>
      <c r="O36" s="811"/>
      <c r="P36" s="810" t="s">
        <v>27</v>
      </c>
      <c r="Q36" s="811"/>
      <c r="R36" s="810" t="s">
        <v>27</v>
      </c>
      <c r="S36" s="813"/>
      <c r="T36" s="286" t="s">
        <v>28</v>
      </c>
      <c r="U36" s="287" t="s">
        <v>27</v>
      </c>
      <c r="V36" s="32"/>
      <c r="W36" s="33"/>
      <c r="X36" s="34"/>
      <c r="Y36" s="34"/>
      <c r="Z36" s="34"/>
      <c r="AA36" s="838" t="s">
        <v>27</v>
      </c>
      <c r="AB36" s="839"/>
      <c r="AC36" s="832" t="s">
        <v>27</v>
      </c>
      <c r="AD36" s="841"/>
      <c r="AE36" s="832" t="s">
        <v>27</v>
      </c>
      <c r="AF36" s="841"/>
      <c r="AG36" s="832" t="s">
        <v>27</v>
      </c>
      <c r="AH36" s="841"/>
      <c r="AI36" s="832" t="s">
        <v>27</v>
      </c>
      <c r="AJ36" s="841"/>
      <c r="AK36" s="832" t="s">
        <v>27</v>
      </c>
      <c r="AL36" s="833"/>
      <c r="AM36" s="288" t="s">
        <v>28</v>
      </c>
      <c r="AN36" s="289" t="s">
        <v>27</v>
      </c>
      <c r="AO36" s="290" t="s">
        <v>28</v>
      </c>
      <c r="AP36" s="291" t="s">
        <v>27</v>
      </c>
      <c r="AQ36" s="291" t="s">
        <v>33</v>
      </c>
      <c r="AR36" s="292" t="s">
        <v>33</v>
      </c>
      <c r="AS36" s="463"/>
      <c r="AT36" s="463"/>
      <c r="AU36" s="463"/>
      <c r="AV36" s="463"/>
      <c r="AW36" s="463"/>
    </row>
    <row r="37" spans="1:49" s="270" customFormat="1" ht="27.75" customHeight="1">
      <c r="A37" s="821" t="s">
        <v>57</v>
      </c>
      <c r="B37" s="822"/>
      <c r="C37" s="807" t="s">
        <v>58</v>
      </c>
      <c r="D37" s="808"/>
      <c r="E37" s="809"/>
      <c r="F37" s="293"/>
      <c r="G37" s="410">
        <f>'[7]2021 Quality Business Plan'!AP37</f>
        <v>25438000</v>
      </c>
      <c r="H37" s="812">
        <f>'[6]G3322 - GRUPO PILHAS ALK'!$B$26*1000</f>
        <v>3127000</v>
      </c>
      <c r="I37" s="812"/>
      <c r="J37" s="812">
        <f>'[6]G3322 - GRUPO PILHAS ALK'!$D$26*1000</f>
        <v>2201000</v>
      </c>
      <c r="K37" s="812"/>
      <c r="L37" s="812">
        <f>'[6]G3322 - GRUPO PILHAS ALK'!$F$26*1000</f>
        <v>2324000</v>
      </c>
      <c r="M37" s="812"/>
      <c r="N37" s="812">
        <f>'[6]G3322 - GRUPO PILHAS ALK'!$H$26*1000</f>
        <v>2429000</v>
      </c>
      <c r="O37" s="812"/>
      <c r="P37" s="812">
        <f>'[6]G3322 - GRUPO PILHAS ALK'!$J$26*1000</f>
        <v>3065000</v>
      </c>
      <c r="Q37" s="812"/>
      <c r="R37" s="812">
        <f>'[6]G3322 - GRUPO PILHAS ALK'!$L$26*1000</f>
        <v>2835000</v>
      </c>
      <c r="S37" s="812"/>
      <c r="T37" s="411"/>
      <c r="U37" s="412">
        <f>+H37+J37+L37+N37+P37+R37</f>
        <v>15981000</v>
      </c>
      <c r="V37" s="821" t="s">
        <v>57</v>
      </c>
      <c r="W37" s="822"/>
      <c r="X37" s="807" t="s">
        <v>58</v>
      </c>
      <c r="Y37" s="808"/>
      <c r="Z37" s="809"/>
      <c r="AA37" s="836">
        <f>'[6]G3322 - GRUPO PILHAS ALK'!$P$26*1000</f>
        <v>2833000</v>
      </c>
      <c r="AB37" s="837"/>
      <c r="AC37" s="836">
        <f>'[6]G3322 - GRUPO PILHAS ALK'!$R$26*1000</f>
        <v>3033000</v>
      </c>
      <c r="AD37" s="837"/>
      <c r="AE37" s="837"/>
      <c r="AF37" s="837"/>
      <c r="AG37" s="834"/>
      <c r="AH37" s="840"/>
      <c r="AI37" s="837"/>
      <c r="AJ37" s="837"/>
      <c r="AK37" s="834"/>
      <c r="AL37" s="835"/>
      <c r="AM37" s="424"/>
      <c r="AN37" s="425">
        <f>+AA37+AC37+AE37+AG37+AI37+AK37</f>
        <v>5866000</v>
      </c>
      <c r="AO37" s="424"/>
      <c r="AP37" s="426">
        <f>U37+AN37</f>
        <v>21847000</v>
      </c>
      <c r="AQ37" s="427">
        <f>AP37*1.1</f>
        <v>24031700.000000004</v>
      </c>
      <c r="AR37" s="428">
        <f>AQ37*1.1</f>
        <v>26434870.000000007</v>
      </c>
      <c r="AS37" s="463" t="s">
        <v>162</v>
      </c>
      <c r="AT37" s="464">
        <v>0.67</v>
      </c>
      <c r="AU37" s="463">
        <v>0.6</v>
      </c>
      <c r="AV37" s="463"/>
      <c r="AW37" s="463"/>
    </row>
    <row r="38" spans="1:49" s="270" customFormat="1" ht="27.75" customHeight="1">
      <c r="A38" s="823"/>
      <c r="B38" s="822"/>
      <c r="C38" s="829" t="s">
        <v>59</v>
      </c>
      <c r="D38" s="830"/>
      <c r="E38" s="831"/>
      <c r="F38" s="294"/>
      <c r="G38" s="413">
        <f>'[7]2021 Quality Business Plan'!AP38</f>
        <v>25438000</v>
      </c>
      <c r="H38" s="806">
        <f>G38-INDEX('[8]2020 Quality Business Plan'!$H$37:$S$37,1,MATCH(H11,'[8]2020 Quality Business Plan'!$H$11:$S$11,0))+H37</f>
        <v>27055000</v>
      </c>
      <c r="I38" s="803"/>
      <c r="J38" s="806">
        <f>H38-INDEX('[8]2020 Quality Business Plan'!$H$37:$S$37,1,MATCH(J11,'[8]2020 Quality Business Plan'!$H$11:$S$11,0))+J37</f>
        <v>27123000</v>
      </c>
      <c r="K38" s="803"/>
      <c r="L38" s="806">
        <f>J38-INDEX('[8]2020 Quality Business Plan'!$H$37:$S$37,1,MATCH(L11,'[8]2020 Quality Business Plan'!$H$11:$S$11,0))+L37</f>
        <v>27750000</v>
      </c>
      <c r="M38" s="803"/>
      <c r="N38" s="803">
        <f>L38-INDEX('[8]2020 Quality Business Plan'!$H$37:$S$37,1,MATCH(N11,'[8]2020 Quality Business Plan'!$H$11:$S$11,0))+N37</f>
        <v>27719000</v>
      </c>
      <c r="O38" s="803"/>
      <c r="P38" s="803">
        <f>N38-INDEX('[8]2020 Quality Business Plan'!$H$37:$S$37,1,MATCH(P11,'[8]2020 Quality Business Plan'!$H$11:$S$11,0))+P37</f>
        <v>28002000</v>
      </c>
      <c r="Q38" s="803"/>
      <c r="R38" s="803">
        <f>P38-INDEX('[8]2020 Quality Business Plan'!$H$37:$S$37,1,MATCH(R11,'[8]2020 Quality Business Plan'!$H$11:$S$11,0))+R37</f>
        <v>26568000</v>
      </c>
      <c r="S38" s="803"/>
      <c r="T38" s="414"/>
      <c r="U38" s="415">
        <f>SUM(H37:S37)</f>
        <v>15981000</v>
      </c>
      <c r="V38" s="823"/>
      <c r="W38" s="822"/>
      <c r="X38" s="829" t="s">
        <v>59</v>
      </c>
      <c r="Y38" s="830"/>
      <c r="Z38" s="831"/>
      <c r="AA38" s="803">
        <f>R38-INDEX('[8]2020 Quality Business Plan'!$AA$37:$AL$37,1,MATCH(AA11,'[8]2020 Quality Business Plan'!$AA$11:$AL$11,0))+AA37</f>
        <v>25517000</v>
      </c>
      <c r="AB38" s="803"/>
      <c r="AC38" s="803">
        <f>AA38-INDEX('[8]2020 Quality Business Plan'!$AA$37:$AL$37,1,MATCH(AC11,'[8]2020 Quality Business Plan'!$AA$11:$AL$11,0))+AC37</f>
        <v>25030000</v>
      </c>
      <c r="AD38" s="803"/>
      <c r="AE38" s="803">
        <f>AC38-INDEX('[8]2020 Quality Business Plan'!$AA$37:$AL$37,1,MATCH(AE11,'[8]2020 Quality Business Plan'!$AA$11:$AL$11,0))+AE37</f>
        <v>22508000</v>
      </c>
      <c r="AF38" s="803"/>
      <c r="AG38" s="803">
        <f>AE38-INDEX('[8]2020 Quality Business Plan'!$AA$37:$AL$37,1,MATCH(AG11,'[8]2020 Quality Business Plan'!$AA$11:$AL$11,0))+AG37</f>
        <v>18960000</v>
      </c>
      <c r="AH38" s="803"/>
      <c r="AI38" s="803">
        <f>AG38-INDEX('[8]2020 Quality Business Plan'!$AA$37:$AL$37,1,MATCH(AI11,'[8]2020 Quality Business Plan'!$AA$11:$AL$11,0))+AI37</f>
        <v>16311000</v>
      </c>
      <c r="AJ38" s="803"/>
      <c r="AK38" s="803">
        <f>AI38-INDEX('[8]2020 Quality Business Plan'!$AA$37:$AL$37,1,MATCH(AK11,'[8]2020 Quality Business Plan'!$AA$11:$AL$11,0))+AK37</f>
        <v>15438000</v>
      </c>
      <c r="AL38" s="817"/>
      <c r="AM38" s="416"/>
      <c r="AN38" s="429">
        <f>SUM(AA37:AL37)</f>
        <v>5866000</v>
      </c>
      <c r="AO38" s="416"/>
      <c r="AP38" s="430">
        <f>U38+AN38</f>
        <v>21847000</v>
      </c>
      <c r="AQ38" s="431">
        <f>AQ37</f>
        <v>24031700.000000004</v>
      </c>
      <c r="AR38" s="432">
        <f>AR37</f>
        <v>26434870.000000007</v>
      </c>
      <c r="AS38" s="463"/>
      <c r="AT38" s="463"/>
      <c r="AU38" s="463"/>
      <c r="AV38" s="463"/>
      <c r="AW38" s="463"/>
    </row>
    <row r="39" spans="1:49" s="270" customFormat="1" ht="27.75" customHeight="1">
      <c r="A39" s="823"/>
      <c r="B39" s="822"/>
      <c r="C39" s="826" t="s">
        <v>60</v>
      </c>
      <c r="D39" s="827"/>
      <c r="E39" s="828"/>
      <c r="F39" s="295"/>
      <c r="G39" s="316">
        <f>'[7]2021 Quality Business Plan'!AP39</f>
        <v>1</v>
      </c>
      <c r="H39" s="806">
        <v>0</v>
      </c>
      <c r="I39" s="803"/>
      <c r="J39" s="803">
        <v>0</v>
      </c>
      <c r="K39" s="803"/>
      <c r="L39" s="803">
        <v>0</v>
      </c>
      <c r="M39" s="803"/>
      <c r="N39" s="803">
        <v>0</v>
      </c>
      <c r="O39" s="803"/>
      <c r="P39" s="803">
        <v>0</v>
      </c>
      <c r="Q39" s="803"/>
      <c r="R39" s="803">
        <v>1</v>
      </c>
      <c r="S39" s="817"/>
      <c r="T39" s="416"/>
      <c r="U39" s="415">
        <f>+H39+J39+L39+N39+P39+R39</f>
        <v>1</v>
      </c>
      <c r="V39" s="823"/>
      <c r="W39" s="822"/>
      <c r="X39" s="826" t="s">
        <v>60</v>
      </c>
      <c r="Y39" s="827"/>
      <c r="Z39" s="828"/>
      <c r="AA39" s="806">
        <v>0</v>
      </c>
      <c r="AB39" s="803"/>
      <c r="AC39" s="803">
        <v>0</v>
      </c>
      <c r="AD39" s="803"/>
      <c r="AE39" s="803"/>
      <c r="AF39" s="803"/>
      <c r="AG39" s="803"/>
      <c r="AH39" s="803"/>
      <c r="AI39" s="803"/>
      <c r="AJ39" s="803"/>
      <c r="AK39" s="803"/>
      <c r="AL39" s="842"/>
      <c r="AM39" s="416"/>
      <c r="AN39" s="429">
        <f>+AA39+AC39+AE39+AG39+AI39+AK39</f>
        <v>0</v>
      </c>
      <c r="AO39" s="416"/>
      <c r="AP39" s="430">
        <f>U39+AN39</f>
        <v>1</v>
      </c>
      <c r="AQ39" s="431">
        <v>0</v>
      </c>
      <c r="AR39" s="432">
        <v>0</v>
      </c>
      <c r="AS39" s="463"/>
      <c r="AT39" s="463"/>
      <c r="AU39" s="463"/>
      <c r="AV39" s="463"/>
      <c r="AW39" s="463"/>
    </row>
    <row r="40" spans="1:49" s="270" customFormat="1" ht="27.75" customHeight="1" thickBot="1">
      <c r="A40" s="824"/>
      <c r="B40" s="825"/>
      <c r="C40" s="818" t="s">
        <v>61</v>
      </c>
      <c r="D40" s="819"/>
      <c r="E40" s="820"/>
      <c r="F40" s="296"/>
      <c r="G40" s="753">
        <f>'[7]2021 Quality Business Plan'!AP40</f>
        <v>3.9311266609010145E-2</v>
      </c>
      <c r="H40" s="804">
        <f t="shared" ref="H40" si="17">(H39/H37)*1000000</f>
        <v>0</v>
      </c>
      <c r="I40" s="805" t="e">
        <f t="shared" ref="I40:S40" si="18">(I39/I38)*12*1000000</f>
        <v>#DIV/0!</v>
      </c>
      <c r="J40" s="804">
        <f t="shared" ref="J40" si="19">(J39/J37)*1000000</f>
        <v>0</v>
      </c>
      <c r="K40" s="805" t="e">
        <f t="shared" si="18"/>
        <v>#DIV/0!</v>
      </c>
      <c r="L40" s="804">
        <f t="shared" ref="L40" si="20">(L39/L37)*1000000</f>
        <v>0</v>
      </c>
      <c r="M40" s="805" t="e">
        <f t="shared" si="18"/>
        <v>#DIV/0!</v>
      </c>
      <c r="N40" s="804">
        <f t="shared" ref="N40" si="21">(N39/N37)*1000000</f>
        <v>0</v>
      </c>
      <c r="O40" s="805" t="e">
        <f t="shared" si="18"/>
        <v>#DIV/0!</v>
      </c>
      <c r="P40" s="804">
        <f t="shared" ref="P40" si="22">(P39/P37)*1000000</f>
        <v>0</v>
      </c>
      <c r="Q40" s="805" t="e">
        <f t="shared" si="18"/>
        <v>#DIV/0!</v>
      </c>
      <c r="R40" s="804">
        <f>(R39/R37)*1000000</f>
        <v>0.35273368606701938</v>
      </c>
      <c r="S40" s="816" t="e">
        <f t="shared" si="18"/>
        <v>#DIV/0!</v>
      </c>
      <c r="T40" s="348"/>
      <c r="U40" s="349">
        <f>(U39/U37)</f>
        <v>6.2574306989550092E-8</v>
      </c>
      <c r="V40" s="824"/>
      <c r="W40" s="825"/>
      <c r="X40" s="818" t="s">
        <v>68</v>
      </c>
      <c r="Y40" s="819"/>
      <c r="Z40" s="820"/>
      <c r="AA40" s="804">
        <f t="shared" ref="AA40" si="23">(AA39/AA37)*1000000</f>
        <v>0</v>
      </c>
      <c r="AB40" s="805" t="e">
        <f t="shared" ref="AB40:AL40" si="24">(AB39/AB38)*12*1000000</f>
        <v>#DIV/0!</v>
      </c>
      <c r="AC40" s="804">
        <f t="shared" ref="AC40" si="25">(AC39/AC37)*1000000</f>
        <v>0</v>
      </c>
      <c r="AD40" s="805" t="e">
        <f t="shared" si="24"/>
        <v>#DIV/0!</v>
      </c>
      <c r="AE40" s="804" t="e">
        <f t="shared" ref="AE40" si="26">(AE39/AE37)*1000000</f>
        <v>#DIV/0!</v>
      </c>
      <c r="AF40" s="805" t="e">
        <f t="shared" si="24"/>
        <v>#DIV/0!</v>
      </c>
      <c r="AG40" s="804" t="e">
        <f t="shared" ref="AG40" si="27">(AG39/AG37)*1000000</f>
        <v>#DIV/0!</v>
      </c>
      <c r="AH40" s="805" t="e">
        <f t="shared" si="24"/>
        <v>#DIV/0!</v>
      </c>
      <c r="AI40" s="804" t="e">
        <f t="shared" ref="AI40" si="28">(AI39/AI37)*1000000</f>
        <v>#DIV/0!</v>
      </c>
      <c r="AJ40" s="805" t="e">
        <f t="shared" si="24"/>
        <v>#DIV/0!</v>
      </c>
      <c r="AK40" s="804" t="e">
        <f>(AK39/AK37)*1000000</f>
        <v>#DIV/0!</v>
      </c>
      <c r="AL40" s="816" t="e">
        <f t="shared" si="24"/>
        <v>#DIV/0!</v>
      </c>
      <c r="AM40" s="348"/>
      <c r="AN40" s="751">
        <f>(AN39/AN37)*1000000</f>
        <v>0</v>
      </c>
      <c r="AO40" s="348"/>
      <c r="AP40" s="751">
        <f>(AP39/AP37)*1000000</f>
        <v>4.5772874994278394E-2</v>
      </c>
      <c r="AQ40" s="751">
        <f>(AQ39/AQ37)*1000000</f>
        <v>0</v>
      </c>
      <c r="AR40" s="751">
        <f>(AR39/AR37)*1000000</f>
        <v>0</v>
      </c>
      <c r="AS40" s="463"/>
      <c r="AT40" s="463"/>
      <c r="AU40" s="463"/>
      <c r="AV40" s="463"/>
      <c r="AW40" s="463"/>
    </row>
    <row r="41" spans="1:49" ht="8.4499999999999993" customHeight="1" thickBot="1">
      <c r="A41" s="297"/>
      <c r="B41" s="297"/>
      <c r="C41" s="297"/>
      <c r="D41" s="297"/>
      <c r="E41" s="297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7"/>
      <c r="W41" s="297"/>
      <c r="X41" s="297"/>
      <c r="Y41" s="297"/>
      <c r="Z41" s="297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462"/>
      <c r="AT41" s="462"/>
      <c r="AU41" s="462"/>
      <c r="AV41" s="462"/>
    </row>
    <row r="42" spans="1:49" ht="24" customHeight="1">
      <c r="A42" s="306" t="s">
        <v>62</v>
      </c>
      <c r="B42" s="307"/>
      <c r="C42" s="307"/>
      <c r="D42" s="307"/>
      <c r="E42" s="307"/>
      <c r="F42" s="307"/>
      <c r="G42" s="307"/>
      <c r="H42" s="437"/>
      <c r="I42" s="43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6" t="s">
        <v>70</v>
      </c>
      <c r="W42" s="350"/>
      <c r="X42" s="350"/>
      <c r="Y42" s="350"/>
      <c r="Z42" s="350"/>
      <c r="AA42" s="350"/>
      <c r="AB42" s="350"/>
      <c r="AC42" s="350"/>
      <c r="AD42" s="350"/>
      <c r="AE42" s="350"/>
      <c r="AF42" s="350"/>
      <c r="AG42" s="350"/>
      <c r="AH42" s="350"/>
      <c r="AI42" s="350"/>
      <c r="AJ42" s="350"/>
      <c r="AK42" s="350"/>
      <c r="AL42" s="350"/>
      <c r="AM42" s="350"/>
      <c r="AN42" s="350"/>
      <c r="AO42" s="350"/>
      <c r="AP42" s="350"/>
      <c r="AQ42" s="350"/>
      <c r="AR42" s="351"/>
      <c r="AS42" s="462"/>
      <c r="AT42" s="462"/>
      <c r="AU42" s="462"/>
      <c r="AV42" s="462"/>
    </row>
    <row r="43" spans="1:49" ht="24" customHeight="1">
      <c r="A43" s="25"/>
      <c r="B43" s="16"/>
      <c r="C43" s="16"/>
      <c r="D43" s="16"/>
      <c r="E43" s="16"/>
      <c r="F43" s="16"/>
      <c r="G43" s="16"/>
      <c r="H43" s="438"/>
      <c r="I43" s="439"/>
      <c r="J43" s="16"/>
      <c r="K43" s="434"/>
      <c r="L43" s="434"/>
      <c r="M43" s="16"/>
      <c r="N43" s="16"/>
      <c r="O43" s="16"/>
      <c r="P43" s="16"/>
      <c r="Q43" s="16"/>
      <c r="R43" s="16"/>
      <c r="S43" s="16"/>
      <c r="T43" s="16"/>
      <c r="U43" s="16"/>
      <c r="V43" s="352"/>
      <c r="W43" s="353"/>
      <c r="X43" s="353"/>
      <c r="Y43" s="353"/>
      <c r="Z43" s="353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4"/>
      <c r="AS43" s="462"/>
      <c r="AT43" s="462"/>
      <c r="AU43" s="462"/>
      <c r="AV43" s="462"/>
    </row>
    <row r="44" spans="1:49" ht="24" customHeight="1">
      <c r="A44" s="25"/>
      <c r="B44" s="16"/>
      <c r="C44" s="16"/>
      <c r="D44" s="16"/>
      <c r="E44" s="16"/>
      <c r="F44" s="16"/>
      <c r="G44" s="16"/>
      <c r="H44" s="438"/>
      <c r="I44" s="439"/>
      <c r="J44" s="16"/>
      <c r="K44" s="43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352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4"/>
      <c r="AS44" s="462"/>
      <c r="AT44" s="462"/>
      <c r="AU44" s="462"/>
      <c r="AV44" s="462"/>
    </row>
    <row r="45" spans="1:49" ht="24" customHeight="1">
      <c r="B45" s="16"/>
      <c r="C45" s="16"/>
      <c r="D45" s="16"/>
      <c r="E45" s="16"/>
      <c r="F45" s="16"/>
      <c r="G45" s="16"/>
      <c r="H45" s="438"/>
      <c r="I45" s="439"/>
      <c r="J45" s="16"/>
      <c r="K45" s="436"/>
      <c r="L45" s="16"/>
      <c r="M45" s="16"/>
      <c r="N45" s="308"/>
      <c r="O45" s="16"/>
      <c r="P45" s="16"/>
      <c r="Q45" s="16"/>
      <c r="R45" s="16"/>
      <c r="S45" s="16"/>
      <c r="T45" s="16"/>
      <c r="U45" s="16"/>
      <c r="V45" s="352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4"/>
      <c r="AS45" s="462"/>
      <c r="AT45" s="462"/>
      <c r="AU45" s="462"/>
      <c r="AV45" s="462"/>
    </row>
    <row r="46" spans="1:49" s="270" customFormat="1" ht="25.15" customHeight="1" thickBot="1">
      <c r="A46" s="309"/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55"/>
      <c r="W46" s="356"/>
      <c r="X46" s="356"/>
      <c r="Y46" s="356"/>
      <c r="Z46" s="356"/>
      <c r="AA46" s="356"/>
      <c r="AB46" s="356"/>
      <c r="AC46" s="356"/>
      <c r="AD46" s="356"/>
      <c r="AE46" s="356"/>
      <c r="AF46" s="356"/>
      <c r="AG46" s="356"/>
      <c r="AH46" s="356"/>
      <c r="AI46" s="356"/>
      <c r="AJ46" s="356"/>
      <c r="AK46" s="356"/>
      <c r="AL46" s="356"/>
      <c r="AM46" s="356"/>
      <c r="AN46" s="356"/>
      <c r="AO46" s="356"/>
      <c r="AP46" s="356"/>
      <c r="AQ46" s="356"/>
      <c r="AR46" s="357"/>
      <c r="AS46" s="461"/>
      <c r="AT46" s="461"/>
      <c r="AU46" s="461"/>
      <c r="AV46" s="461"/>
    </row>
    <row r="47" spans="1:49" ht="11.1" customHeight="1">
      <c r="AS47" s="462"/>
      <c r="AT47" s="462"/>
      <c r="AU47" s="462"/>
      <c r="AV47" s="462"/>
    </row>
    <row r="48" spans="1:49">
      <c r="AO48" s="299"/>
    </row>
    <row r="49" spans="7:26" ht="45.75" customHeight="1">
      <c r="G49" s="466"/>
      <c r="N49" s="303"/>
    </row>
    <row r="50" spans="7:26">
      <c r="I50" s="467"/>
    </row>
    <row r="51" spans="7:26">
      <c r="H51" s="468">
        <f>((K28+I28)/(J28+H28)-1)*100</f>
        <v>-100</v>
      </c>
    </row>
    <row r="54" spans="7:26">
      <c r="Z54" s="300"/>
    </row>
  </sheetData>
  <mergeCells count="161">
    <mergeCell ref="C15:E15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A11:AB11"/>
    <mergeCell ref="AC11:AD11"/>
    <mergeCell ref="AG11:AH11"/>
    <mergeCell ref="AI11:AJ11"/>
    <mergeCell ref="AK11:AL11"/>
    <mergeCell ref="AM11:AN11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A37:B40"/>
    <mergeCell ref="C40:E40"/>
    <mergeCell ref="D18:E18"/>
    <mergeCell ref="D26:E26"/>
    <mergeCell ref="C34:E34"/>
    <mergeCell ref="C38:E38"/>
    <mergeCell ref="C37:E37"/>
    <mergeCell ref="C39:E39"/>
    <mergeCell ref="R1:S2"/>
    <mergeCell ref="A32:B34"/>
    <mergeCell ref="C29:E29"/>
    <mergeCell ref="B23:B27"/>
    <mergeCell ref="A16:A29"/>
    <mergeCell ref="B17:B22"/>
    <mergeCell ref="C16:E16"/>
    <mergeCell ref="C14:E14"/>
    <mergeCell ref="L37:M37"/>
    <mergeCell ref="L36:M36"/>
    <mergeCell ref="R37:S37"/>
    <mergeCell ref="H3:K3"/>
    <mergeCell ref="N4:O4"/>
    <mergeCell ref="N5:O5"/>
    <mergeCell ref="N6:O6"/>
    <mergeCell ref="N7:O7"/>
    <mergeCell ref="AO35:AP35"/>
    <mergeCell ref="AM35:AN35"/>
    <mergeCell ref="D20:E20"/>
    <mergeCell ref="D24:E24"/>
    <mergeCell ref="D25:E25"/>
    <mergeCell ref="D21:E21"/>
    <mergeCell ref="D22:E22"/>
    <mergeCell ref="A30:E30"/>
    <mergeCell ref="Y27:Z27"/>
    <mergeCell ref="Y26:Z26"/>
    <mergeCell ref="V16:V29"/>
    <mergeCell ref="W17:W22"/>
    <mergeCell ref="Y21:Z21"/>
    <mergeCell ref="X23:Z23"/>
    <mergeCell ref="Y25:Z25"/>
    <mergeCell ref="Y20:Z20"/>
    <mergeCell ref="X28:Z28"/>
    <mergeCell ref="Y22:Z22"/>
    <mergeCell ref="Y18:Z18"/>
    <mergeCell ref="X16:Z16"/>
    <mergeCell ref="C23:E23"/>
    <mergeCell ref="X34:Z34"/>
    <mergeCell ref="X17:Z17"/>
    <mergeCell ref="C28:E28"/>
    <mergeCell ref="C17:E17"/>
    <mergeCell ref="D19:E19"/>
    <mergeCell ref="J36:K36"/>
    <mergeCell ref="J37:K37"/>
    <mergeCell ref="Y24:Z24"/>
    <mergeCell ref="X29:Z29"/>
    <mergeCell ref="V32:W34"/>
    <mergeCell ref="V30:Z30"/>
    <mergeCell ref="Y19:Z19"/>
    <mergeCell ref="W23:W27"/>
    <mergeCell ref="H36:I36"/>
    <mergeCell ref="H37:I37"/>
    <mergeCell ref="D27:E27"/>
    <mergeCell ref="X33:Z33"/>
    <mergeCell ref="C33:E33"/>
    <mergeCell ref="X32:Z32"/>
    <mergeCell ref="C32:E32"/>
    <mergeCell ref="AK36:AL36"/>
    <mergeCell ref="AK37:AL37"/>
    <mergeCell ref="AA37:AB37"/>
    <mergeCell ref="AC37:AD37"/>
    <mergeCell ref="AE37:AF37"/>
    <mergeCell ref="AA36:AB36"/>
    <mergeCell ref="N39:O39"/>
    <mergeCell ref="AG37:AH37"/>
    <mergeCell ref="AG38:AH38"/>
    <mergeCell ref="AG39:AH39"/>
    <mergeCell ref="AI38:AJ38"/>
    <mergeCell ref="AG36:AH36"/>
    <mergeCell ref="AI36:AJ36"/>
    <mergeCell ref="AI37:AJ37"/>
    <mergeCell ref="AA38:AB38"/>
    <mergeCell ref="AK38:AL38"/>
    <mergeCell ref="AK39:AL39"/>
    <mergeCell ref="AE39:AF39"/>
    <mergeCell ref="AE38:AF38"/>
    <mergeCell ref="AI39:AJ39"/>
    <mergeCell ref="AC36:AD36"/>
    <mergeCell ref="AE36:AF36"/>
    <mergeCell ref="AE40:AF40"/>
    <mergeCell ref="AC40:AD40"/>
    <mergeCell ref="AK40:AL40"/>
    <mergeCell ref="AI40:AJ40"/>
    <mergeCell ref="AG40:AH40"/>
    <mergeCell ref="P40:Q40"/>
    <mergeCell ref="AA40:AB40"/>
    <mergeCell ref="N40:O40"/>
    <mergeCell ref="R39:S39"/>
    <mergeCell ref="AC39:AD39"/>
    <mergeCell ref="X40:Z40"/>
    <mergeCell ref="R40:S40"/>
    <mergeCell ref="V37:W40"/>
    <mergeCell ref="N38:O38"/>
    <mergeCell ref="P39:Q39"/>
    <mergeCell ref="X39:Z39"/>
    <mergeCell ref="X38:Z38"/>
    <mergeCell ref="N37:O37"/>
    <mergeCell ref="P38:Q38"/>
    <mergeCell ref="I5:J5"/>
    <mergeCell ref="X14:Z14"/>
    <mergeCell ref="AC38:AD38"/>
    <mergeCell ref="H40:I40"/>
    <mergeCell ref="H39:I39"/>
    <mergeCell ref="J38:K38"/>
    <mergeCell ref="L38:M38"/>
    <mergeCell ref="J39:K39"/>
    <mergeCell ref="L39:M39"/>
    <mergeCell ref="J40:K40"/>
    <mergeCell ref="L40:M40"/>
    <mergeCell ref="H38:I38"/>
    <mergeCell ref="AA39:AB39"/>
    <mergeCell ref="R38:S38"/>
    <mergeCell ref="X37:Z37"/>
    <mergeCell ref="P36:Q36"/>
    <mergeCell ref="P37:Q37"/>
    <mergeCell ref="N36:O36"/>
    <mergeCell ref="R36:S36"/>
    <mergeCell ref="X15:Z15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B25" zoomScale="90" zoomScaleNormal="90" zoomScaleSheetLayoutView="75" workbookViewId="0">
      <selection activeCell="AH31" sqref="AH31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497" t="s">
        <v>172</v>
      </c>
      <c r="K2" s="45"/>
      <c r="L2" s="45" t="s">
        <v>5</v>
      </c>
      <c r="M2" s="45"/>
      <c r="N2" s="497" t="s">
        <v>174</v>
      </c>
      <c r="O2" s="764" t="s">
        <v>6</v>
      </c>
      <c r="P2" s="45"/>
      <c r="Q2" s="45" t="s">
        <v>7</v>
      </c>
      <c r="R2" s="45"/>
      <c r="S2" s="497" t="s">
        <v>175</v>
      </c>
      <c r="T2" s="45"/>
      <c r="U2" s="45" t="s">
        <v>8</v>
      </c>
      <c r="V2" s="45"/>
      <c r="W2" s="497" t="s">
        <v>176</v>
      </c>
      <c r="X2" s="764" t="s">
        <v>9</v>
      </c>
      <c r="Y2" s="764" t="s">
        <v>164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363" t="s">
        <v>72</v>
      </c>
      <c r="G3" s="53" t="s">
        <v>11</v>
      </c>
      <c r="H3" s="54" t="s">
        <v>12</v>
      </c>
      <c r="I3" s="55" t="s">
        <v>13</v>
      </c>
      <c r="J3" s="498" t="s">
        <v>173</v>
      </c>
      <c r="K3" s="53" t="s">
        <v>14</v>
      </c>
      <c r="L3" s="54" t="s">
        <v>15</v>
      </c>
      <c r="M3" s="55" t="s">
        <v>16</v>
      </c>
      <c r="N3" s="498" t="s">
        <v>173</v>
      </c>
      <c r="O3" s="765"/>
      <c r="P3" s="53" t="s">
        <v>17</v>
      </c>
      <c r="Q3" s="54" t="s">
        <v>18</v>
      </c>
      <c r="R3" s="55" t="s">
        <v>19</v>
      </c>
      <c r="S3" s="498" t="s">
        <v>173</v>
      </c>
      <c r="T3" s="53" t="s">
        <v>20</v>
      </c>
      <c r="U3" s="54" t="s">
        <v>21</v>
      </c>
      <c r="V3" s="55" t="s">
        <v>22</v>
      </c>
      <c r="W3" s="498" t="s">
        <v>173</v>
      </c>
      <c r="X3" s="765"/>
      <c r="Y3" s="765"/>
    </row>
    <row r="4" spans="1:25" s="48" customFormat="1" ht="18.75" customHeight="1">
      <c r="A4" s="39"/>
      <c r="B4" s="56"/>
      <c r="C4" s="768" t="s">
        <v>34</v>
      </c>
      <c r="D4" s="769"/>
      <c r="E4" s="364" t="s">
        <v>35</v>
      </c>
      <c r="F4" s="57"/>
      <c r="G4" s="58">
        <v>1361</v>
      </c>
      <c r="H4" s="58">
        <v>1328</v>
      </c>
      <c r="I4" s="488">
        <v>1480</v>
      </c>
      <c r="J4" s="499">
        <f>SUM(G4:I4)</f>
        <v>4169</v>
      </c>
      <c r="K4" s="58">
        <v>1402</v>
      </c>
      <c r="L4" s="58">
        <v>1460</v>
      </c>
      <c r="M4" s="488">
        <v>1530</v>
      </c>
      <c r="N4" s="499">
        <f>SUM(K4:M4)</f>
        <v>4392</v>
      </c>
      <c r="O4" s="59">
        <f>SUM(G4:M4)</f>
        <v>12730</v>
      </c>
      <c r="P4" s="58">
        <v>1548</v>
      </c>
      <c r="Q4" s="58">
        <v>1706</v>
      </c>
      <c r="R4" s="488">
        <v>1648</v>
      </c>
      <c r="S4" s="499">
        <f>SUM(P4:R4)</f>
        <v>4902</v>
      </c>
      <c r="T4" s="58">
        <v>1116</v>
      </c>
      <c r="U4" s="58">
        <v>1223</v>
      </c>
      <c r="V4" s="488">
        <v>1609</v>
      </c>
      <c r="W4" s="499">
        <f>SUM(T4:V4)</f>
        <v>3948</v>
      </c>
      <c r="X4" s="59">
        <f>SUM(P4:V4)</f>
        <v>13752</v>
      </c>
      <c r="Y4" s="59">
        <f>O4+X4</f>
        <v>26482</v>
      </c>
    </row>
    <row r="5" spans="1:25" s="48" customFormat="1" ht="18.75" customHeight="1">
      <c r="A5" s="39"/>
      <c r="B5" s="56"/>
      <c r="C5" s="770"/>
      <c r="D5" s="771"/>
      <c r="E5" s="365" t="s">
        <v>36</v>
      </c>
      <c r="F5" s="60"/>
      <c r="G5" s="61">
        <v>131</v>
      </c>
      <c r="H5" s="61">
        <v>128</v>
      </c>
      <c r="I5" s="489">
        <v>143</v>
      </c>
      <c r="J5" s="500">
        <f>SUM(G5:I5)</f>
        <v>402</v>
      </c>
      <c r="K5" s="61">
        <v>135</v>
      </c>
      <c r="L5" s="61">
        <v>141</v>
      </c>
      <c r="M5" s="489">
        <v>147</v>
      </c>
      <c r="N5" s="500">
        <f>SUM(K5:M5)</f>
        <v>423</v>
      </c>
      <c r="O5" s="62">
        <f>SUM(G5:M5)</f>
        <v>1227</v>
      </c>
      <c r="P5" s="61">
        <v>149</v>
      </c>
      <c r="Q5" s="61">
        <v>164</v>
      </c>
      <c r="R5" s="489">
        <v>161</v>
      </c>
      <c r="S5" s="500">
        <f>SUM(P5:R5)</f>
        <v>474</v>
      </c>
      <c r="T5" s="61">
        <v>107</v>
      </c>
      <c r="U5" s="61">
        <v>118</v>
      </c>
      <c r="V5" s="489">
        <v>155</v>
      </c>
      <c r="W5" s="500">
        <f>SUM(T5:V5)</f>
        <v>380</v>
      </c>
      <c r="X5" s="62">
        <f>SUM(P5:V5)</f>
        <v>1328</v>
      </c>
      <c r="Y5" s="62">
        <f>O5+X5</f>
        <v>2555</v>
      </c>
    </row>
    <row r="6" spans="1:25" s="48" customFormat="1" ht="21" customHeight="1" thickBot="1">
      <c r="A6" s="39"/>
      <c r="B6" s="56"/>
      <c r="C6" s="772"/>
      <c r="D6" s="773"/>
      <c r="E6" s="63"/>
      <c r="F6" s="366"/>
      <c r="G6" s="64">
        <f t="shared" ref="G6:M6" si="0">SUM(G4:G5)</f>
        <v>1492</v>
      </c>
      <c r="H6" s="64">
        <f t="shared" si="0"/>
        <v>1456</v>
      </c>
      <c r="I6" s="490">
        <f t="shared" si="0"/>
        <v>1623</v>
      </c>
      <c r="J6" s="67">
        <f>SUM(G6:I6)</f>
        <v>4571</v>
      </c>
      <c r="K6" s="64">
        <f t="shared" si="0"/>
        <v>1537</v>
      </c>
      <c r="L6" s="64">
        <f t="shared" si="0"/>
        <v>1601</v>
      </c>
      <c r="M6" s="490">
        <f t="shared" si="0"/>
        <v>1677</v>
      </c>
      <c r="N6" s="67">
        <f>SUM(K6:M6)</f>
        <v>4815</v>
      </c>
      <c r="O6" s="67">
        <f>SUM(G6:M6)</f>
        <v>13957</v>
      </c>
      <c r="P6" s="64">
        <f t="shared" ref="P6:V6" si="1">SUM(P4:P5)</f>
        <v>1697</v>
      </c>
      <c r="Q6" s="64">
        <f t="shared" si="1"/>
        <v>1870</v>
      </c>
      <c r="R6" s="490">
        <f t="shared" si="1"/>
        <v>1809</v>
      </c>
      <c r="S6" s="67">
        <f>SUM(P6:R6)</f>
        <v>5376</v>
      </c>
      <c r="T6" s="64">
        <f t="shared" si="1"/>
        <v>1223</v>
      </c>
      <c r="U6" s="64">
        <f t="shared" si="1"/>
        <v>1341</v>
      </c>
      <c r="V6" s="490">
        <f t="shared" si="1"/>
        <v>1764</v>
      </c>
      <c r="W6" s="67">
        <f>SUM(T6:V6)</f>
        <v>4328</v>
      </c>
      <c r="X6" s="67">
        <f>SUM(P6:V6)</f>
        <v>15080</v>
      </c>
      <c r="Y6" s="67">
        <f>O6+X6</f>
        <v>29037</v>
      </c>
    </row>
    <row r="7" spans="1:25" ht="21" customHeight="1" thickBot="1">
      <c r="A7" s="69">
        <v>1</v>
      </c>
      <c r="B7" s="754" t="s">
        <v>71</v>
      </c>
      <c r="C7" s="755" t="s">
        <v>156</v>
      </c>
      <c r="D7" s="367" t="s">
        <v>73</v>
      </c>
      <c r="E7" s="368"/>
      <c r="F7" s="70"/>
      <c r="G7" s="71">
        <f>'Detail Table(Forecast)'!G7</f>
        <v>0</v>
      </c>
      <c r="H7" s="72">
        <f>'Detail Table(Forecast)'!H7</f>
        <v>0</v>
      </c>
      <c r="I7" s="73">
        <f>'Detail Table(Forecast)'!I7</f>
        <v>0</v>
      </c>
      <c r="J7" s="501"/>
      <c r="K7" s="71">
        <f>'Detail Table(Forecast)'!J7</f>
        <v>0</v>
      </c>
      <c r="L7" s="72">
        <f>'Detail Table(Forecast)'!K7</f>
        <v>0</v>
      </c>
      <c r="M7" s="73">
        <f>'Detail Table(Forecast)'!L7</f>
        <v>0</v>
      </c>
      <c r="N7" s="501"/>
      <c r="O7" s="74">
        <f>SUM(G7:M7)</f>
        <v>0</v>
      </c>
      <c r="P7" s="71">
        <f>'Detail Table(Forecast)'!N7</f>
        <v>0</v>
      </c>
      <c r="Q7" s="72">
        <f>'Detail Table(Forecast)'!O7</f>
        <v>0</v>
      </c>
      <c r="R7" s="73">
        <f>'Detail Table(Forecast)'!P7</f>
        <v>0</v>
      </c>
      <c r="S7" s="501"/>
      <c r="T7" s="71">
        <f>'Detail Table(Forecast)'!Q7</f>
        <v>0</v>
      </c>
      <c r="U7" s="72">
        <f>'Detail Table(Forecast)'!R7</f>
        <v>0</v>
      </c>
      <c r="V7" s="73">
        <f>'Detail Table(Forecast)'!S7</f>
        <v>0</v>
      </c>
      <c r="W7" s="501"/>
      <c r="X7" s="74">
        <f>SUM(P7:V7)</f>
        <v>0</v>
      </c>
      <c r="Y7" s="74">
        <f>O7+X7</f>
        <v>0</v>
      </c>
    </row>
    <row r="8" spans="1:25" ht="16.5" customHeight="1" thickTop="1">
      <c r="A8" s="69">
        <v>2</v>
      </c>
      <c r="B8" s="754"/>
      <c r="C8" s="756"/>
      <c r="D8" s="758" t="s">
        <v>74</v>
      </c>
      <c r="E8" s="113" t="s">
        <v>75</v>
      </c>
      <c r="F8" s="369" t="s">
        <v>78</v>
      </c>
      <c r="G8" s="76">
        <f>'Detail Table(Forecast)'!G8</f>
        <v>0</v>
      </c>
      <c r="H8" s="77">
        <f>'Detail Table(Forecast)'!H8</f>
        <v>0</v>
      </c>
      <c r="I8" s="78">
        <f>'Detail Table(Forecast)'!I8</f>
        <v>0</v>
      </c>
      <c r="J8" s="502"/>
      <c r="K8" s="76">
        <f>'Detail Table(Forecast)'!J8</f>
        <v>0</v>
      </c>
      <c r="L8" s="77">
        <f>'Detail Table(Forecast)'!K8</f>
        <v>0</v>
      </c>
      <c r="M8" s="78">
        <f>'Detail Table(Forecast)'!L8</f>
        <v>0</v>
      </c>
      <c r="N8" s="502"/>
      <c r="O8" s="79"/>
      <c r="P8" s="80">
        <f>'Detail Table(Forecast)'!N8</f>
        <v>0</v>
      </c>
      <c r="Q8" s="81">
        <f>'Detail Table(Forecast)'!O8</f>
        <v>0</v>
      </c>
      <c r="R8" s="83">
        <f>'Detail Table(Forecast)'!P8</f>
        <v>0</v>
      </c>
      <c r="S8" s="502"/>
      <c r="T8" s="80">
        <f>'Detail Table(Forecast)'!Q8</f>
        <v>0</v>
      </c>
      <c r="U8" s="81">
        <f>'Detail Table(Forecast)'!R8</f>
        <v>0</v>
      </c>
      <c r="V8" s="83">
        <f>'Detail Table(Forecast)'!S8</f>
        <v>0</v>
      </c>
      <c r="W8" s="502"/>
      <c r="X8" s="79"/>
      <c r="Y8" s="79"/>
    </row>
    <row r="9" spans="1:25" ht="16.5" customHeight="1">
      <c r="A9" s="69">
        <v>3</v>
      </c>
      <c r="B9" s="754"/>
      <c r="C9" s="756"/>
      <c r="D9" s="758"/>
      <c r="E9" s="113" t="s">
        <v>76</v>
      </c>
      <c r="F9" s="370" t="s">
        <v>79</v>
      </c>
      <c r="G9" s="84">
        <f>'Detail Table(Forecast)'!G9</f>
        <v>0</v>
      </c>
      <c r="H9" s="85">
        <f>'Detail Table(Forecast)'!H9</f>
        <v>0</v>
      </c>
      <c r="I9" s="86">
        <f>'Detail Table(Forecast)'!I9</f>
        <v>0</v>
      </c>
      <c r="J9" s="503"/>
      <c r="K9" s="84">
        <f>'Detail Table(Forecast)'!J9</f>
        <v>0</v>
      </c>
      <c r="L9" s="85">
        <f>'Detail Table(Forecast)'!K9</f>
        <v>0</v>
      </c>
      <c r="M9" s="86">
        <f>'Detail Table(Forecast)'!L9</f>
        <v>0</v>
      </c>
      <c r="N9" s="503"/>
      <c r="O9" s="87"/>
      <c r="P9" s="88">
        <f>'Detail Table(Forecast)'!N9</f>
        <v>0</v>
      </c>
      <c r="Q9" s="89">
        <f>'Detail Table(Forecast)'!O9</f>
        <v>0</v>
      </c>
      <c r="R9" s="91">
        <f>'Detail Table(Forecast)'!P9</f>
        <v>0</v>
      </c>
      <c r="S9" s="503"/>
      <c r="T9" s="88">
        <f>'Detail Table(Forecast)'!Q9</f>
        <v>0</v>
      </c>
      <c r="U9" s="89">
        <f>'Detail Table(Forecast)'!R9</f>
        <v>0</v>
      </c>
      <c r="V9" s="91">
        <f>'Detail Table(Forecast)'!S9</f>
        <v>0</v>
      </c>
      <c r="W9" s="503"/>
      <c r="X9" s="87"/>
      <c r="Y9" s="87"/>
    </row>
    <row r="10" spans="1:25" ht="16.5" customHeight="1">
      <c r="A10" s="69">
        <v>4</v>
      </c>
      <c r="B10" s="754"/>
      <c r="C10" s="756"/>
      <c r="D10" s="758"/>
      <c r="E10" s="92" t="s">
        <v>77</v>
      </c>
      <c r="F10" s="371" t="s">
        <v>80</v>
      </c>
      <c r="G10" s="93">
        <f>'Detail Table(Forecast)'!G10</f>
        <v>16.023879623336562</v>
      </c>
      <c r="H10" s="93">
        <f>'Detail Table(Forecast)'!H10</f>
        <v>17.698691900351967</v>
      </c>
      <c r="I10" s="487">
        <f>'Detail Table(Forecast)'!I10</f>
        <v>14.152918160724759</v>
      </c>
      <c r="J10" s="504">
        <f>SUM(G10:I10)</f>
        <v>47.875489684413289</v>
      </c>
      <c r="K10" s="93">
        <f>'Detail Table(Forecast)'!J10</f>
        <v>16.423722193975376</v>
      </c>
      <c r="L10" s="93">
        <f>'Detail Table(Forecast)'!K10</f>
        <v>16.423722193975376</v>
      </c>
      <c r="M10" s="487">
        <f>'Detail Table(Forecast)'!L10</f>
        <v>19.448946171827522</v>
      </c>
      <c r="N10" s="504">
        <f>SUM(K10:M10)</f>
        <v>52.296390559778274</v>
      </c>
      <c r="O10" s="96">
        <f>SUM(G10:M10)</f>
        <v>148.04736992860484</v>
      </c>
      <c r="P10" s="93">
        <f>'Detail Table(Forecast)'!N10</f>
        <v>21.591498814495878</v>
      </c>
      <c r="Q10" s="93">
        <f>'Detail Table(Forecast)'!O10</f>
        <v>21.018139656598709</v>
      </c>
      <c r="R10" s="487">
        <f>'Detail Table(Forecast)'!P10</f>
        <v>16.612327180125757</v>
      </c>
      <c r="S10" s="504">
        <f>SUM(P10:R10)</f>
        <v>59.221965651220344</v>
      </c>
      <c r="T10" s="93">
        <f>'Detail Table(Forecast)'!Q10</f>
        <v>13.722898792301887</v>
      </c>
      <c r="U10" s="93">
        <f>'Detail Table(Forecast)'!R10</f>
        <v>13.971857374020393</v>
      </c>
      <c r="V10" s="487">
        <f>'Detail Table(Forecast)'!S10</f>
        <v>17.072523346332694</v>
      </c>
      <c r="W10" s="504">
        <f>SUM(T10:V10)</f>
        <v>44.767279512654973</v>
      </c>
      <c r="X10" s="96">
        <f t="shared" ref="X10:X20" si="2">SUM(P10:V10)</f>
        <v>163.21121081509568</v>
      </c>
      <c r="Y10" s="96">
        <f>O10+X10</f>
        <v>311.25858074370052</v>
      </c>
    </row>
    <row r="11" spans="1:25" ht="19.5" customHeight="1">
      <c r="B11" s="754"/>
      <c r="C11" s="756"/>
      <c r="D11" s="758"/>
      <c r="E11" s="98"/>
      <c r="F11" s="372" t="s">
        <v>81</v>
      </c>
      <c r="G11" s="99">
        <f>'Detail Table(Forecast)'!G11</f>
        <v>16.023879623336562</v>
      </c>
      <c r="H11" s="100">
        <f>'Detail Table(Forecast)'!H11</f>
        <v>17.698691900351967</v>
      </c>
      <c r="I11" s="101">
        <f>'Detail Table(Forecast)'!I11</f>
        <v>14.152918160724759</v>
      </c>
      <c r="J11" s="505">
        <f>SUM(G11:I11)</f>
        <v>47.875489684413289</v>
      </c>
      <c r="K11" s="99">
        <f>'Detail Table(Forecast)'!J11</f>
        <v>16.423722193975376</v>
      </c>
      <c r="L11" s="100">
        <f>'Detail Table(Forecast)'!K11</f>
        <v>16.423722193975376</v>
      </c>
      <c r="M11" s="101">
        <f>'Detail Table(Forecast)'!L11</f>
        <v>19.448946171827522</v>
      </c>
      <c r="N11" s="505">
        <f>SUM(K11:M11)</f>
        <v>52.296390559778274</v>
      </c>
      <c r="O11" s="102">
        <f>SUM(G11:M11)</f>
        <v>148.04736992860484</v>
      </c>
      <c r="P11" s="99">
        <f>'Detail Table(Forecast)'!N11</f>
        <v>21.591498814495878</v>
      </c>
      <c r="Q11" s="100">
        <f>'Detail Table(Forecast)'!O11</f>
        <v>21.018139656598709</v>
      </c>
      <c r="R11" s="101">
        <f>'Detail Table(Forecast)'!P11</f>
        <v>16.612327180125757</v>
      </c>
      <c r="S11" s="505">
        <f>SUM(P11:R11)</f>
        <v>59.221965651220344</v>
      </c>
      <c r="T11" s="99">
        <f>'Detail Table(Forecast)'!Q11</f>
        <v>13.722898792301887</v>
      </c>
      <c r="U11" s="100">
        <f>'Detail Table(Forecast)'!R11</f>
        <v>13.971857374020393</v>
      </c>
      <c r="V11" s="101">
        <f>'Detail Table(Forecast)'!S11</f>
        <v>17.072523346332694</v>
      </c>
      <c r="W11" s="505">
        <f>SUM(T11:V11)</f>
        <v>44.767279512654973</v>
      </c>
      <c r="X11" s="102">
        <f>SUM(P11:V11)</f>
        <v>163.21121081509568</v>
      </c>
      <c r="Y11" s="102">
        <f>O11+X11</f>
        <v>311.25858074370052</v>
      </c>
    </row>
    <row r="12" spans="1:25" ht="16.5" customHeight="1">
      <c r="A12" s="69">
        <v>5</v>
      </c>
      <c r="B12" s="754"/>
      <c r="C12" s="756"/>
      <c r="D12" s="758"/>
      <c r="E12" s="113" t="s">
        <v>82</v>
      </c>
      <c r="F12" s="395" t="s">
        <v>84</v>
      </c>
      <c r="G12" s="103">
        <f>'Detail Table(Forecast)'!G12</f>
        <v>0</v>
      </c>
      <c r="H12" s="104">
        <f>'Detail Table(Forecast)'!H12</f>
        <v>0</v>
      </c>
      <c r="I12" s="105">
        <f>'Detail Table(Forecast)'!I12</f>
        <v>0</v>
      </c>
      <c r="J12" s="506"/>
      <c r="K12" s="103">
        <f>'Detail Table(Forecast)'!J12</f>
        <v>0</v>
      </c>
      <c r="L12" s="104">
        <f>'Detail Table(Forecast)'!K12</f>
        <v>0</v>
      </c>
      <c r="M12" s="105">
        <f>'Detail Table(Forecast)'!L12</f>
        <v>0</v>
      </c>
      <c r="N12" s="506"/>
      <c r="O12" s="106">
        <f t="shared" ref="O12:O20" si="3">SUM(G12:M12)</f>
        <v>0</v>
      </c>
      <c r="P12" s="103">
        <f>'Detail Table(Forecast)'!N12</f>
        <v>0</v>
      </c>
      <c r="Q12" s="104">
        <f>'Detail Table(Forecast)'!O12</f>
        <v>0</v>
      </c>
      <c r="R12" s="105">
        <f>'Detail Table(Forecast)'!P12</f>
        <v>0</v>
      </c>
      <c r="S12" s="506"/>
      <c r="T12" s="103">
        <f>'Detail Table(Forecast)'!Q12</f>
        <v>0</v>
      </c>
      <c r="U12" s="104">
        <f>'Detail Table(Forecast)'!R12</f>
        <v>0</v>
      </c>
      <c r="V12" s="105">
        <f>'Detail Table(Forecast)'!S12</f>
        <v>0</v>
      </c>
      <c r="W12" s="506"/>
      <c r="X12" s="106">
        <f t="shared" si="2"/>
        <v>0</v>
      </c>
      <c r="Y12" s="106">
        <f t="shared" ref="Y12:Y20" si="4">O12+X12</f>
        <v>0</v>
      </c>
    </row>
    <row r="13" spans="1:25" ht="16.5" customHeight="1">
      <c r="A13" s="69">
        <v>6</v>
      </c>
      <c r="B13" s="754"/>
      <c r="C13" s="756"/>
      <c r="D13" s="758"/>
      <c r="E13" s="113" t="s">
        <v>83</v>
      </c>
      <c r="F13" s="374" t="s">
        <v>85</v>
      </c>
      <c r="G13" s="111">
        <f>'Detail Table(Forecast)'!G13</f>
        <v>0</v>
      </c>
      <c r="H13" s="108">
        <f>'Detail Table(Forecast)'!H13</f>
        <v>0</v>
      </c>
      <c r="I13" s="109">
        <f>'Detail Table(Forecast)'!I13</f>
        <v>0</v>
      </c>
      <c r="J13" s="507"/>
      <c r="K13" s="111">
        <f>'Detail Table(Forecast)'!J13</f>
        <v>0</v>
      </c>
      <c r="L13" s="108">
        <f>'Detail Table(Forecast)'!K13</f>
        <v>0</v>
      </c>
      <c r="M13" s="109">
        <f>'Detail Table(Forecast)'!L13</f>
        <v>0</v>
      </c>
      <c r="N13" s="507"/>
      <c r="O13" s="110">
        <f t="shared" si="3"/>
        <v>0</v>
      </c>
      <c r="P13" s="111">
        <f>'Detail Table(Forecast)'!N13</f>
        <v>0</v>
      </c>
      <c r="Q13" s="108">
        <f>'Detail Table(Forecast)'!O13</f>
        <v>0</v>
      </c>
      <c r="R13" s="109">
        <f>'Detail Table(Forecast)'!P13</f>
        <v>0</v>
      </c>
      <c r="S13" s="507"/>
      <c r="T13" s="111">
        <f>'Detail Table(Forecast)'!Q13</f>
        <v>0</v>
      </c>
      <c r="U13" s="108">
        <f>'Detail Table(Forecast)'!R13</f>
        <v>0</v>
      </c>
      <c r="V13" s="109">
        <f>'Detail Table(Forecast)'!S13</f>
        <v>0</v>
      </c>
      <c r="W13" s="507"/>
      <c r="X13" s="110">
        <f t="shared" si="2"/>
        <v>0</v>
      </c>
      <c r="Y13" s="110">
        <f t="shared" si="4"/>
        <v>0</v>
      </c>
    </row>
    <row r="14" spans="1:25" ht="16.5" customHeight="1">
      <c r="A14" s="69">
        <v>7</v>
      </c>
      <c r="B14" s="754"/>
      <c r="C14" s="756"/>
      <c r="D14" s="758"/>
      <c r="E14" s="113"/>
      <c r="F14" s="399" t="s">
        <v>86</v>
      </c>
      <c r="G14" s="114">
        <f>'Detail Table(Forecast)'!G14</f>
        <v>0</v>
      </c>
      <c r="H14" s="115">
        <f>'Detail Table(Forecast)'!H14</f>
        <v>0</v>
      </c>
      <c r="I14" s="116">
        <f>'Detail Table(Forecast)'!I14</f>
        <v>0</v>
      </c>
      <c r="J14" s="508"/>
      <c r="K14" s="114">
        <f>'Detail Table(Forecast)'!J14</f>
        <v>0</v>
      </c>
      <c r="L14" s="115">
        <f>'Detail Table(Forecast)'!K14</f>
        <v>0</v>
      </c>
      <c r="M14" s="116">
        <f>'Detail Table(Forecast)'!L14</f>
        <v>0</v>
      </c>
      <c r="N14" s="508"/>
      <c r="O14" s="117"/>
      <c r="P14" s="114">
        <f>'Detail Table(Forecast)'!N14</f>
        <v>0</v>
      </c>
      <c r="Q14" s="115">
        <f>'Detail Table(Forecast)'!O14</f>
        <v>0</v>
      </c>
      <c r="R14" s="116">
        <f>'Detail Table(Forecast)'!P14</f>
        <v>0</v>
      </c>
      <c r="S14" s="508"/>
      <c r="T14" s="114">
        <f>'Detail Table(Forecast)'!Q14</f>
        <v>0</v>
      </c>
      <c r="U14" s="115">
        <f>'Detail Table(Forecast)'!R14</f>
        <v>0</v>
      </c>
      <c r="V14" s="116">
        <f>'Detail Table(Forecast)'!S14</f>
        <v>0</v>
      </c>
      <c r="W14" s="508"/>
      <c r="X14" s="117"/>
      <c r="Y14" s="117"/>
    </row>
    <row r="15" spans="1:25" ht="16.5" customHeight="1">
      <c r="A15" s="69">
        <v>8</v>
      </c>
      <c r="B15" s="754"/>
      <c r="C15" s="756"/>
      <c r="D15" s="758"/>
      <c r="E15" s="113"/>
      <c r="F15" s="398" t="s">
        <v>87</v>
      </c>
      <c r="G15" s="111">
        <f>'Detail Table(Forecast)'!G15</f>
        <v>0</v>
      </c>
      <c r="H15" s="108">
        <f>'Detail Table(Forecast)'!H15</f>
        <v>0</v>
      </c>
      <c r="I15" s="109">
        <f>'Detail Table(Forecast)'!I15</f>
        <v>0</v>
      </c>
      <c r="J15" s="507"/>
      <c r="K15" s="111">
        <f>'Detail Table(Forecast)'!J15</f>
        <v>0</v>
      </c>
      <c r="L15" s="108">
        <f>'Detail Table(Forecast)'!K15</f>
        <v>0</v>
      </c>
      <c r="M15" s="109">
        <f>'Detail Table(Forecast)'!L15</f>
        <v>0</v>
      </c>
      <c r="N15" s="507"/>
      <c r="O15" s="110">
        <f t="shared" si="3"/>
        <v>0</v>
      </c>
      <c r="P15" s="111">
        <f>'Detail Table(Forecast)'!N15</f>
        <v>0</v>
      </c>
      <c r="Q15" s="108">
        <f>'Detail Table(Forecast)'!O15</f>
        <v>0</v>
      </c>
      <c r="R15" s="109">
        <f>'Detail Table(Forecast)'!P15</f>
        <v>0</v>
      </c>
      <c r="S15" s="507"/>
      <c r="T15" s="111">
        <f>'Detail Table(Forecast)'!Q15</f>
        <v>0</v>
      </c>
      <c r="U15" s="108">
        <f>'Detail Table(Forecast)'!R15</f>
        <v>0</v>
      </c>
      <c r="V15" s="109">
        <f>'Detail Table(Forecast)'!S15</f>
        <v>0</v>
      </c>
      <c r="W15" s="507"/>
      <c r="X15" s="110">
        <f t="shared" si="2"/>
        <v>0</v>
      </c>
      <c r="Y15" s="110">
        <f t="shared" si="4"/>
        <v>0</v>
      </c>
    </row>
    <row r="16" spans="1:25" ht="16.5" customHeight="1">
      <c r="A16" s="69">
        <v>9</v>
      </c>
      <c r="B16" s="754"/>
      <c r="C16" s="756"/>
      <c r="D16" s="758"/>
      <c r="E16" s="113"/>
      <c r="F16" s="373" t="s">
        <v>118</v>
      </c>
      <c r="G16" s="93">
        <f>'Detail Table(Forecast)'!G16</f>
        <v>0</v>
      </c>
      <c r="H16" s="93">
        <f>'Detail Table(Forecast)'!H16</f>
        <v>0</v>
      </c>
      <c r="I16" s="95">
        <f>'Detail Table(Forecast)'!I16</f>
        <v>0</v>
      </c>
      <c r="J16" s="504"/>
      <c r="K16" s="487">
        <f>'Detail Table(Forecast)'!J16</f>
        <v>0</v>
      </c>
      <c r="L16" s="94">
        <f>'Detail Table(Forecast)'!K16</f>
        <v>0</v>
      </c>
      <c r="M16" s="95">
        <f>'Detail Table(Forecast)'!L16</f>
        <v>0</v>
      </c>
      <c r="N16" s="504"/>
      <c r="O16" s="119">
        <f t="shared" si="3"/>
        <v>0</v>
      </c>
      <c r="P16" s="94">
        <f>'Detail Table(Forecast)'!N16</f>
        <v>0</v>
      </c>
      <c r="Q16" s="94">
        <f>'Detail Table(Forecast)'!O16</f>
        <v>0</v>
      </c>
      <c r="R16" s="95">
        <f>'Detail Table(Forecast)'!P16</f>
        <v>0</v>
      </c>
      <c r="S16" s="504"/>
      <c r="T16" s="93">
        <f>'Detail Table(Forecast)'!Q16</f>
        <v>0</v>
      </c>
      <c r="U16" s="94">
        <f>'Detail Table(Forecast)'!R16</f>
        <v>0</v>
      </c>
      <c r="V16" s="95">
        <f>'Detail Table(Forecast)'!S16</f>
        <v>0</v>
      </c>
      <c r="W16" s="504"/>
      <c r="X16" s="119">
        <f t="shared" si="2"/>
        <v>0</v>
      </c>
      <c r="Y16" s="119">
        <f t="shared" si="4"/>
        <v>0</v>
      </c>
    </row>
    <row r="17" spans="1:25" ht="19.5" customHeight="1">
      <c r="B17" s="754"/>
      <c r="C17" s="756"/>
      <c r="D17" s="758"/>
      <c r="E17" s="113"/>
      <c r="F17" s="372" t="s">
        <v>88</v>
      </c>
      <c r="G17" s="248">
        <f>'Detail Table(Forecast)'!G17</f>
        <v>0</v>
      </c>
      <c r="H17" s="121">
        <f>'Detail Table(Forecast)'!H17</f>
        <v>0</v>
      </c>
      <c r="I17" s="122">
        <f>'Detail Table(Forecast)'!I17</f>
        <v>0</v>
      </c>
      <c r="J17" s="509">
        <f>SUM(G17:I17)</f>
        <v>0</v>
      </c>
      <c r="K17" s="120">
        <f>'Detail Table(Forecast)'!J17</f>
        <v>0</v>
      </c>
      <c r="L17" s="121">
        <f>'Detail Table(Forecast)'!K17</f>
        <v>0</v>
      </c>
      <c r="M17" s="122">
        <f>'Detail Table(Forecast)'!L17</f>
        <v>0</v>
      </c>
      <c r="N17" s="509">
        <f>SUM(K17:M17)</f>
        <v>0</v>
      </c>
      <c r="O17" s="96">
        <f>SUM(G17:M17)</f>
        <v>0</v>
      </c>
      <c r="P17" s="120">
        <f>'Detail Table(Forecast)'!N17</f>
        <v>0</v>
      </c>
      <c r="Q17" s="121">
        <f>'Detail Table(Forecast)'!O17</f>
        <v>0</v>
      </c>
      <c r="R17" s="122">
        <f>'Detail Table(Forecast)'!P17</f>
        <v>0</v>
      </c>
      <c r="S17" s="509">
        <f>SUM(P17:R17)</f>
        <v>0</v>
      </c>
      <c r="T17" s="120">
        <f>'Detail Table(Forecast)'!Q17</f>
        <v>0</v>
      </c>
      <c r="U17" s="121">
        <f>'Detail Table(Forecast)'!R17</f>
        <v>0</v>
      </c>
      <c r="V17" s="122">
        <f>'Detail Table(Forecast)'!S17</f>
        <v>0</v>
      </c>
      <c r="W17" s="509">
        <f>SUM(T17:V17)</f>
        <v>0</v>
      </c>
      <c r="X17" s="96">
        <f>SUM(P17:V17)</f>
        <v>0</v>
      </c>
      <c r="Y17" s="96">
        <f t="shared" si="4"/>
        <v>0</v>
      </c>
    </row>
    <row r="18" spans="1:25" ht="19.5" customHeight="1">
      <c r="A18" s="69">
        <v>10</v>
      </c>
      <c r="B18" s="754"/>
      <c r="C18" s="756"/>
      <c r="D18" s="758"/>
      <c r="E18" s="375" t="s">
        <v>89</v>
      </c>
      <c r="F18" s="124"/>
      <c r="G18" s="125">
        <f>'Detail Table(Forecast)'!G18</f>
        <v>0</v>
      </c>
      <c r="H18" s="126">
        <f>'Detail Table(Forecast)'!H18</f>
        <v>0</v>
      </c>
      <c r="I18" s="127">
        <f>'Detail Table(Forecast)'!I18</f>
        <v>0</v>
      </c>
      <c r="J18" s="510"/>
      <c r="K18" s="125">
        <f>'Detail Table(Forecast)'!J18</f>
        <v>0</v>
      </c>
      <c r="L18" s="126">
        <f>'Detail Table(Forecast)'!K18</f>
        <v>0</v>
      </c>
      <c r="M18" s="127">
        <f>'Detail Table(Forecast)'!L18</f>
        <v>0</v>
      </c>
      <c r="N18" s="510"/>
      <c r="O18" s="128">
        <f t="shared" si="3"/>
        <v>0</v>
      </c>
      <c r="P18" s="125">
        <f>'Detail Table(Forecast)'!N18</f>
        <v>0</v>
      </c>
      <c r="Q18" s="126">
        <f>'Detail Table(Forecast)'!O18</f>
        <v>0</v>
      </c>
      <c r="R18" s="127">
        <f>'Detail Table(Forecast)'!P18</f>
        <v>0</v>
      </c>
      <c r="S18" s="510"/>
      <c r="T18" s="125">
        <f>'Detail Table(Forecast)'!Q18</f>
        <v>0</v>
      </c>
      <c r="U18" s="126">
        <f>'Detail Table(Forecast)'!R18</f>
        <v>0</v>
      </c>
      <c r="V18" s="127">
        <f>'Detail Table(Forecast)'!S18</f>
        <v>0</v>
      </c>
      <c r="W18" s="510"/>
      <c r="X18" s="128">
        <f>SUM(P18:V18)</f>
        <v>0</v>
      </c>
      <c r="Y18" s="128">
        <f t="shared" si="4"/>
        <v>0</v>
      </c>
    </row>
    <row r="19" spans="1:25" ht="19.5" customHeight="1">
      <c r="A19" s="69">
        <v>11</v>
      </c>
      <c r="B19" s="754"/>
      <c r="C19" s="756"/>
      <c r="D19" s="758"/>
      <c r="E19" s="375" t="s">
        <v>90</v>
      </c>
      <c r="F19" s="124"/>
      <c r="G19" s="125">
        <f>'Detail Table(Forecast)'!G19</f>
        <v>0</v>
      </c>
      <c r="H19" s="126">
        <f>'Detail Table(Forecast)'!H19</f>
        <v>0</v>
      </c>
      <c r="I19" s="127">
        <f>'Detail Table(Forecast)'!I19</f>
        <v>0</v>
      </c>
      <c r="J19" s="510"/>
      <c r="K19" s="125">
        <f>'Detail Table(Forecast)'!J19</f>
        <v>0</v>
      </c>
      <c r="L19" s="126">
        <f>'Detail Table(Forecast)'!K19</f>
        <v>0</v>
      </c>
      <c r="M19" s="127">
        <f>'Detail Table(Forecast)'!L19</f>
        <v>0</v>
      </c>
      <c r="N19" s="510"/>
      <c r="O19" s="128">
        <f t="shared" si="3"/>
        <v>0</v>
      </c>
      <c r="P19" s="125">
        <f>'Detail Table(Forecast)'!N19</f>
        <v>0</v>
      </c>
      <c r="Q19" s="126">
        <f>'Detail Table(Forecast)'!O19</f>
        <v>0</v>
      </c>
      <c r="R19" s="127">
        <f>'Detail Table(Forecast)'!P19</f>
        <v>0</v>
      </c>
      <c r="S19" s="510"/>
      <c r="T19" s="125">
        <f>'Detail Table(Forecast)'!Q19</f>
        <v>0</v>
      </c>
      <c r="U19" s="126">
        <f>'Detail Table(Forecast)'!R19</f>
        <v>0</v>
      </c>
      <c r="V19" s="127">
        <f>'Detail Table(Forecast)'!S19</f>
        <v>0</v>
      </c>
      <c r="W19" s="510"/>
      <c r="X19" s="128">
        <f t="shared" si="2"/>
        <v>0</v>
      </c>
      <c r="Y19" s="128">
        <f t="shared" si="4"/>
        <v>0</v>
      </c>
    </row>
    <row r="20" spans="1:25" ht="19.5" customHeight="1">
      <c r="A20" s="69">
        <v>12</v>
      </c>
      <c r="B20" s="754"/>
      <c r="C20" s="756"/>
      <c r="D20" s="758"/>
      <c r="E20" s="375" t="s">
        <v>91</v>
      </c>
      <c r="F20" s="130"/>
      <c r="G20" s="125">
        <f>'Detail Table(Forecast)'!G20</f>
        <v>0</v>
      </c>
      <c r="H20" s="126">
        <f>'Detail Table(Forecast)'!H20</f>
        <v>0</v>
      </c>
      <c r="I20" s="127">
        <f>'Detail Table(Forecast)'!I20</f>
        <v>0</v>
      </c>
      <c r="J20" s="510"/>
      <c r="K20" s="125">
        <f>'Detail Table(Forecast)'!J20</f>
        <v>0</v>
      </c>
      <c r="L20" s="126">
        <f>'Detail Table(Forecast)'!K20</f>
        <v>0</v>
      </c>
      <c r="M20" s="127">
        <f>'Detail Table(Forecast)'!L20</f>
        <v>0</v>
      </c>
      <c r="N20" s="510"/>
      <c r="O20" s="128">
        <f t="shared" si="3"/>
        <v>0</v>
      </c>
      <c r="P20" s="125">
        <f>'Detail Table(Forecast)'!N20</f>
        <v>0</v>
      </c>
      <c r="Q20" s="126">
        <f>'Detail Table(Forecast)'!O20</f>
        <v>0</v>
      </c>
      <c r="R20" s="127">
        <f>'Detail Table(Forecast)'!P20</f>
        <v>0</v>
      </c>
      <c r="S20" s="510"/>
      <c r="T20" s="125">
        <f>'Detail Table(Forecast)'!Q20</f>
        <v>0</v>
      </c>
      <c r="U20" s="126">
        <f>'Detail Table(Forecast)'!R20</f>
        <v>0</v>
      </c>
      <c r="V20" s="127">
        <f>'Detail Table(Forecast)'!S20</f>
        <v>0</v>
      </c>
      <c r="W20" s="510"/>
      <c r="X20" s="128">
        <f t="shared" si="2"/>
        <v>0</v>
      </c>
      <c r="Y20" s="128">
        <f t="shared" si="4"/>
        <v>0</v>
      </c>
    </row>
    <row r="21" spans="1:25" ht="21" customHeight="1" thickBot="1">
      <c r="B21" s="754"/>
      <c r="C21" s="756"/>
      <c r="D21" s="759"/>
      <c r="E21" s="760" t="s">
        <v>92</v>
      </c>
      <c r="F21" s="761"/>
      <c r="G21" s="131">
        <f>'Detail Table(Forecast)'!G21</f>
        <v>16.023879623336562</v>
      </c>
      <c r="H21" s="132">
        <f>'Detail Table(Forecast)'!H21</f>
        <v>17.698691900351967</v>
      </c>
      <c r="I21" s="133">
        <f>'Detail Table(Forecast)'!I21</f>
        <v>14.152918160724759</v>
      </c>
      <c r="J21" s="511">
        <f>SUM(G21:I21)</f>
        <v>47.875489684413289</v>
      </c>
      <c r="K21" s="135">
        <f>'Detail Table(Forecast)'!J21</f>
        <v>16.423722193975376</v>
      </c>
      <c r="L21" s="132">
        <f>'Detail Table(Forecast)'!K21</f>
        <v>16.423722193975376</v>
      </c>
      <c r="M21" s="133">
        <f>'Detail Table(Forecast)'!L21</f>
        <v>19.448946171827522</v>
      </c>
      <c r="N21" s="511">
        <f>SUM(K21:M21)</f>
        <v>52.296390559778274</v>
      </c>
      <c r="O21" s="134">
        <f>SUM(G21:M21)</f>
        <v>148.04736992860484</v>
      </c>
      <c r="P21" s="131">
        <f>'Detail Table(Forecast)'!N21</f>
        <v>21.591498814495878</v>
      </c>
      <c r="Q21" s="304">
        <f>'Detail Table(Forecast)'!O21</f>
        <v>21.018139656598709</v>
      </c>
      <c r="R21" s="133">
        <f>'Detail Table(Forecast)'!P21</f>
        <v>16.612327180125757</v>
      </c>
      <c r="S21" s="511">
        <f>SUM(P21:R21)</f>
        <v>59.221965651220344</v>
      </c>
      <c r="T21" s="135">
        <f>'Detail Table(Forecast)'!Q21</f>
        <v>13.722898792301887</v>
      </c>
      <c r="U21" s="132">
        <f>'Detail Table(Forecast)'!R21</f>
        <v>13.971857374020393</v>
      </c>
      <c r="V21" s="133">
        <f>'Detail Table(Forecast)'!S21</f>
        <v>17.072523346332694</v>
      </c>
      <c r="W21" s="511">
        <f>SUM(T21:V21)</f>
        <v>44.767279512654973</v>
      </c>
      <c r="X21" s="134">
        <f>SUM(P21:V21)</f>
        <v>163.21121081509568</v>
      </c>
      <c r="Y21" s="134">
        <f>O21+X21</f>
        <v>311.25858074370052</v>
      </c>
    </row>
    <row r="22" spans="1:25" ht="18" customHeight="1" thickTop="1">
      <c r="A22" s="69">
        <v>13</v>
      </c>
      <c r="B22" s="754"/>
      <c r="C22" s="756"/>
      <c r="D22" s="762" t="s">
        <v>153</v>
      </c>
      <c r="E22" s="376" t="s">
        <v>93</v>
      </c>
      <c r="F22" s="136"/>
      <c r="G22" s="472">
        <f>'Detail Table(Forecast)'!G22</f>
        <v>0</v>
      </c>
      <c r="H22" s="472">
        <f>'Detail Table(Forecast)'!H22</f>
        <v>0</v>
      </c>
      <c r="I22" s="491">
        <f>'Detail Table(Forecast)'!I22</f>
        <v>0</v>
      </c>
      <c r="J22" s="512">
        <f>SUM(G22:I22)</f>
        <v>0</v>
      </c>
      <c r="K22" s="472">
        <f>'Detail Table(Forecast)'!J22</f>
        <v>0</v>
      </c>
      <c r="L22" s="472">
        <f>'Detail Table(Forecast)'!K22</f>
        <v>0</v>
      </c>
      <c r="M22" s="491">
        <f>'Detail Table(Forecast)'!L22</f>
        <v>0</v>
      </c>
      <c r="N22" s="512">
        <f>SUM(K22:M22)</f>
        <v>0</v>
      </c>
      <c r="O22" s="140">
        <f>SUM(G22:M22)</f>
        <v>0</v>
      </c>
      <c r="P22" s="472">
        <f>'Detail Table(Forecast)'!N22</f>
        <v>0</v>
      </c>
      <c r="Q22" s="472">
        <f>'Detail Table(Forecast)'!O22</f>
        <v>0</v>
      </c>
      <c r="R22" s="491">
        <f>'Detail Table(Forecast)'!P22</f>
        <v>0</v>
      </c>
      <c r="S22" s="512">
        <f>SUM(P22:R22)</f>
        <v>0</v>
      </c>
      <c r="T22" s="472">
        <f>'Detail Table(Forecast)'!Q22</f>
        <v>0</v>
      </c>
      <c r="U22" s="472">
        <f>'Detail Table(Forecast)'!R22</f>
        <v>0</v>
      </c>
      <c r="V22" s="491">
        <f>'Detail Table(Forecast)'!S22</f>
        <v>0</v>
      </c>
      <c r="W22" s="512">
        <f>SUM(T22:V22)</f>
        <v>0</v>
      </c>
      <c r="X22" s="140">
        <f>SUM(P22:V22)</f>
        <v>0</v>
      </c>
      <c r="Y22" s="140">
        <f>O22+X22</f>
        <v>0</v>
      </c>
    </row>
    <row r="23" spans="1:25" ht="16.5" customHeight="1">
      <c r="A23" s="69">
        <v>14</v>
      </c>
      <c r="B23" s="754"/>
      <c r="C23" s="756"/>
      <c r="D23" s="763"/>
      <c r="E23" s="377" t="s">
        <v>94</v>
      </c>
      <c r="F23" s="397" t="s">
        <v>96</v>
      </c>
      <c r="G23" s="103">
        <f>'Detail Table(Forecast)'!G23</f>
        <v>386.71510310747789</v>
      </c>
      <c r="H23" s="103">
        <f>'Detail Table(Forecast)'!H23</f>
        <v>574.36427630099968</v>
      </c>
      <c r="I23" s="486">
        <f>'Detail Table(Forecast)'!I23</f>
        <v>557.82124367902657</v>
      </c>
      <c r="J23" s="506">
        <f>SUM(G23:I23)</f>
        <v>1518.9006230875041</v>
      </c>
      <c r="K23" s="103">
        <f>'Detail Table(Forecast)'!J23</f>
        <v>596.6518287514175</v>
      </c>
      <c r="L23" s="103">
        <f>'Detail Table(Forecast)'!K23</f>
        <v>594.83891477482086</v>
      </c>
      <c r="M23" s="486">
        <f>'Detail Table(Forecast)'!L23</f>
        <v>642.29854024908332</v>
      </c>
      <c r="N23" s="506">
        <f>SUM(K23:M23)</f>
        <v>1833.7892837753218</v>
      </c>
      <c r="O23" s="106">
        <f>SUM(G23:M23)</f>
        <v>4871.5905299503302</v>
      </c>
      <c r="P23" s="103">
        <f>'Detail Table(Forecast)'!N23</f>
        <v>677.81193526396282</v>
      </c>
      <c r="Q23" s="103">
        <f>'Detail Table(Forecast)'!O23</f>
        <v>628.59298456293754</v>
      </c>
      <c r="R23" s="486">
        <f>'Detail Table(Forecast)'!P23</f>
        <v>386.77229566411688</v>
      </c>
      <c r="S23" s="506">
        <f>SUM(P23:R23)</f>
        <v>1693.1772154910173</v>
      </c>
      <c r="T23" s="103">
        <f>'Detail Table(Forecast)'!Q23</f>
        <v>440.10704398687716</v>
      </c>
      <c r="U23" s="103">
        <f>'Detail Table(Forecast)'!R23</f>
        <v>557.1364885061646</v>
      </c>
      <c r="V23" s="486">
        <f>'Detail Table(Forecast)'!S23</f>
        <v>233.28325703801747</v>
      </c>
      <c r="W23" s="506">
        <f>SUM(T23:V23)</f>
        <v>1230.5267895310592</v>
      </c>
      <c r="X23" s="106">
        <f t="shared" ref="X23:X32" si="5">SUM(P23:V23)</f>
        <v>4616.8812205130944</v>
      </c>
      <c r="Y23" s="106">
        <f>O23+X23</f>
        <v>9488.4717504634245</v>
      </c>
    </row>
    <row r="24" spans="1:25" ht="16.5" customHeight="1">
      <c r="A24" s="69">
        <v>15</v>
      </c>
      <c r="B24" s="754"/>
      <c r="C24" s="756"/>
      <c r="D24" s="763"/>
      <c r="E24" s="92" t="s">
        <v>95</v>
      </c>
      <c r="F24" s="370" t="s">
        <v>97</v>
      </c>
      <c r="G24" s="114">
        <f>'Detail Table(Forecast)'!G24</f>
        <v>0</v>
      </c>
      <c r="H24" s="115">
        <f>'Detail Table(Forecast)'!H24</f>
        <v>0</v>
      </c>
      <c r="I24" s="116">
        <f>'Detail Table(Forecast)'!I24</f>
        <v>0</v>
      </c>
      <c r="J24" s="508"/>
      <c r="K24" s="114">
        <f>'Detail Table(Forecast)'!J24</f>
        <v>0</v>
      </c>
      <c r="L24" s="115">
        <f>'Detail Table(Forecast)'!K24</f>
        <v>0</v>
      </c>
      <c r="M24" s="116">
        <f>'Detail Table(Forecast)'!L24</f>
        <v>0</v>
      </c>
      <c r="N24" s="508"/>
      <c r="O24" s="117"/>
      <c r="P24" s="114">
        <f>'Detail Table(Forecast)'!N24</f>
        <v>0</v>
      </c>
      <c r="Q24" s="115">
        <f>'Detail Table(Forecast)'!O24</f>
        <v>0</v>
      </c>
      <c r="R24" s="116">
        <f>'Detail Table(Forecast)'!P24</f>
        <v>0</v>
      </c>
      <c r="S24" s="508"/>
      <c r="T24" s="114">
        <f>'Detail Table(Forecast)'!Q24</f>
        <v>0</v>
      </c>
      <c r="U24" s="115">
        <f>'Detail Table(Forecast)'!R24</f>
        <v>0</v>
      </c>
      <c r="V24" s="116">
        <f>'Detail Table(Forecast)'!S24</f>
        <v>0</v>
      </c>
      <c r="W24" s="508"/>
      <c r="X24" s="117"/>
      <c r="Y24" s="117"/>
    </row>
    <row r="25" spans="1:25" ht="16.5" customHeight="1">
      <c r="A25" s="69">
        <v>16</v>
      </c>
      <c r="B25" s="754"/>
      <c r="C25" s="756"/>
      <c r="D25" s="763"/>
      <c r="E25" s="92"/>
      <c r="F25" s="396" t="s">
        <v>98</v>
      </c>
      <c r="G25" s="111">
        <f>'Detail Table(Forecast)'!G25</f>
        <v>0</v>
      </c>
      <c r="H25" s="108">
        <f>'Detail Table(Forecast)'!H25</f>
        <v>0</v>
      </c>
      <c r="I25" s="109">
        <f>'Detail Table(Forecast)'!I25</f>
        <v>0</v>
      </c>
      <c r="J25" s="507"/>
      <c r="K25" s="111">
        <f>'Detail Table(Forecast)'!J25</f>
        <v>0</v>
      </c>
      <c r="L25" s="108">
        <f>'Detail Table(Forecast)'!K25</f>
        <v>0</v>
      </c>
      <c r="M25" s="109">
        <f>'Detail Table(Forecast)'!L25</f>
        <v>0</v>
      </c>
      <c r="N25" s="507"/>
      <c r="O25" s="110">
        <f>SUM(G25:M25)</f>
        <v>0</v>
      </c>
      <c r="P25" s="111">
        <f>'Detail Table(Forecast)'!N25</f>
        <v>0</v>
      </c>
      <c r="Q25" s="108">
        <f>'Detail Table(Forecast)'!O25</f>
        <v>0</v>
      </c>
      <c r="R25" s="109">
        <f>'Detail Table(Forecast)'!P25</f>
        <v>0</v>
      </c>
      <c r="S25" s="507"/>
      <c r="T25" s="111">
        <f>'Detail Table(Forecast)'!Q25</f>
        <v>0</v>
      </c>
      <c r="U25" s="108">
        <f>'Detail Table(Forecast)'!R25</f>
        <v>0</v>
      </c>
      <c r="V25" s="109">
        <f>'Detail Table(Forecast)'!S25</f>
        <v>0</v>
      </c>
      <c r="W25" s="507"/>
      <c r="X25" s="110">
        <f t="shared" si="5"/>
        <v>0</v>
      </c>
      <c r="Y25" s="110">
        <f>O25+X25</f>
        <v>0</v>
      </c>
    </row>
    <row r="26" spans="1:25" ht="16.5" customHeight="1">
      <c r="A26" s="69">
        <v>17</v>
      </c>
      <c r="B26" s="754"/>
      <c r="C26" s="756"/>
      <c r="D26" s="763"/>
      <c r="E26" s="92"/>
      <c r="F26" s="370" t="s">
        <v>99</v>
      </c>
      <c r="G26" s="114">
        <f>'Detail Table(Forecast)'!G26</f>
        <v>0</v>
      </c>
      <c r="H26" s="115">
        <f>'Detail Table(Forecast)'!H26</f>
        <v>0</v>
      </c>
      <c r="I26" s="116">
        <f>'Detail Table(Forecast)'!I26</f>
        <v>0</v>
      </c>
      <c r="J26" s="508"/>
      <c r="K26" s="114">
        <f>'Detail Table(Forecast)'!J26</f>
        <v>0</v>
      </c>
      <c r="L26" s="115">
        <f>'Detail Table(Forecast)'!K26</f>
        <v>0</v>
      </c>
      <c r="M26" s="116">
        <f>'Detail Table(Forecast)'!L26</f>
        <v>0</v>
      </c>
      <c r="N26" s="508"/>
      <c r="O26" s="117"/>
      <c r="P26" s="114">
        <f>'Detail Table(Forecast)'!N26</f>
        <v>0</v>
      </c>
      <c r="Q26" s="115">
        <f>'Detail Table(Forecast)'!O26</f>
        <v>0</v>
      </c>
      <c r="R26" s="116">
        <f>'Detail Table(Forecast)'!P26</f>
        <v>0</v>
      </c>
      <c r="S26" s="508"/>
      <c r="T26" s="114">
        <f>'Detail Table(Forecast)'!Q26</f>
        <v>0</v>
      </c>
      <c r="U26" s="115">
        <f>'Detail Table(Forecast)'!R26</f>
        <v>0</v>
      </c>
      <c r="V26" s="116">
        <f>'Detail Table(Forecast)'!S26</f>
        <v>0</v>
      </c>
      <c r="W26" s="508"/>
      <c r="X26" s="117"/>
      <c r="Y26" s="117"/>
    </row>
    <row r="27" spans="1:25" ht="16.5" customHeight="1">
      <c r="A27" s="69">
        <v>18</v>
      </c>
      <c r="B27" s="754"/>
      <c r="C27" s="756"/>
      <c r="D27" s="763"/>
      <c r="E27" s="142"/>
      <c r="F27" s="378" t="s">
        <v>44</v>
      </c>
      <c r="G27" s="93">
        <f>'Detail Table(Forecast)'!G27</f>
        <v>0</v>
      </c>
      <c r="H27" s="93">
        <f>'Detail Table(Forecast)'!H27</f>
        <v>0</v>
      </c>
      <c r="I27" s="95">
        <f>'Detail Table(Forecast)'!I27</f>
        <v>0</v>
      </c>
      <c r="J27" s="504"/>
      <c r="K27" s="93">
        <f>'Detail Table(Forecast)'!J27</f>
        <v>0</v>
      </c>
      <c r="L27" s="94">
        <f>'Detail Table(Forecast)'!K27</f>
        <v>0</v>
      </c>
      <c r="M27" s="95">
        <f>'Detail Table(Forecast)'!L27</f>
        <v>0</v>
      </c>
      <c r="N27" s="504"/>
      <c r="O27" s="119">
        <f t="shared" ref="O27:O33" si="6">SUM(G27:M27)</f>
        <v>0</v>
      </c>
      <c r="P27" s="93">
        <f>'Detail Table(Forecast)'!N27</f>
        <v>0</v>
      </c>
      <c r="Q27" s="94">
        <f>'Detail Table(Forecast)'!O27</f>
        <v>0</v>
      </c>
      <c r="R27" s="95">
        <f>'Detail Table(Forecast)'!P27</f>
        <v>0</v>
      </c>
      <c r="S27" s="504"/>
      <c r="T27" s="93">
        <f>'Detail Table(Forecast)'!Q27</f>
        <v>0</v>
      </c>
      <c r="U27" s="94">
        <f>'Detail Table(Forecast)'!R27</f>
        <v>0</v>
      </c>
      <c r="V27" s="95">
        <f>'Detail Table(Forecast)'!S27</f>
        <v>0</v>
      </c>
      <c r="W27" s="504"/>
      <c r="X27" s="119">
        <f t="shared" si="5"/>
        <v>0</v>
      </c>
      <c r="Y27" s="119">
        <f t="shared" ref="Y27:Y33" si="7">O27+X27</f>
        <v>0</v>
      </c>
    </row>
    <row r="28" spans="1:25" ht="18" customHeight="1">
      <c r="B28" s="754"/>
      <c r="C28" s="756"/>
      <c r="D28" s="763"/>
      <c r="E28" s="143"/>
      <c r="F28" s="379" t="s">
        <v>100</v>
      </c>
      <c r="G28" s="99">
        <f>'Detail Table(Forecast)'!G28</f>
        <v>386.71510310747789</v>
      </c>
      <c r="H28" s="99">
        <f>'Detail Table(Forecast)'!H28</f>
        <v>574.36427630099968</v>
      </c>
      <c r="I28" s="485">
        <f>'Detail Table(Forecast)'!I28</f>
        <v>557.82124367902657</v>
      </c>
      <c r="J28" s="505">
        <f>SUM(G28:I28)</f>
        <v>1518.9006230875041</v>
      </c>
      <c r="K28" s="99">
        <f>'Detail Table(Forecast)'!J28</f>
        <v>596.6518287514175</v>
      </c>
      <c r="L28" s="99">
        <f>'Detail Table(Forecast)'!K28</f>
        <v>594.83891477482086</v>
      </c>
      <c r="M28" s="485">
        <f>'Detail Table(Forecast)'!L28</f>
        <v>642.29854024908332</v>
      </c>
      <c r="N28" s="505">
        <f>SUM(K28:M28)</f>
        <v>1833.7892837753218</v>
      </c>
      <c r="O28" s="102">
        <f t="shared" si="6"/>
        <v>4871.5905299503302</v>
      </c>
      <c r="P28" s="99">
        <f>'Detail Table(Forecast)'!N28</f>
        <v>677.81193526396282</v>
      </c>
      <c r="Q28" s="100">
        <f>'Detail Table(Forecast)'!O28</f>
        <v>628.59298456293754</v>
      </c>
      <c r="R28" s="101">
        <f>'Detail Table(Forecast)'!P28</f>
        <v>386.77229566411688</v>
      </c>
      <c r="S28" s="505">
        <f>SUM(P28:R28)</f>
        <v>1693.1772154910173</v>
      </c>
      <c r="T28" s="99">
        <f>'Detail Table(Forecast)'!Q28</f>
        <v>440.10704398687716</v>
      </c>
      <c r="U28" s="100">
        <f>'Detail Table(Forecast)'!R28</f>
        <v>557.1364885061646</v>
      </c>
      <c r="V28" s="101">
        <f>'Detail Table(Forecast)'!S28</f>
        <v>233.28325703801747</v>
      </c>
      <c r="W28" s="505">
        <f>SUM(T28:V28)</f>
        <v>1230.5267895310592</v>
      </c>
      <c r="X28" s="102">
        <f>SUM(P28:V28)</f>
        <v>4616.8812205130944</v>
      </c>
      <c r="Y28" s="102">
        <f t="shared" si="7"/>
        <v>9488.4717504634245</v>
      </c>
    </row>
    <row r="29" spans="1:25" ht="16.5" customHeight="1">
      <c r="A29" s="69">
        <v>19</v>
      </c>
      <c r="B29" s="754"/>
      <c r="C29" s="756"/>
      <c r="D29" s="763"/>
      <c r="E29" s="377" t="s">
        <v>101</v>
      </c>
      <c r="F29" s="397" t="s">
        <v>103</v>
      </c>
      <c r="G29" s="240">
        <f>'Detail Table(Forecast)'!G29</f>
        <v>0</v>
      </c>
      <c r="H29" s="240">
        <f>'Detail Table(Forecast)'!H29</f>
        <v>0</v>
      </c>
      <c r="I29" s="492">
        <f>'Detail Table(Forecast)'!I29</f>
        <v>0</v>
      </c>
      <c r="J29" s="513"/>
      <c r="K29" s="240">
        <f>'Detail Table(Forecast)'!J29</f>
        <v>0</v>
      </c>
      <c r="L29" s="240">
        <f>'Detail Table(Forecast)'!K29</f>
        <v>0</v>
      </c>
      <c r="M29" s="492">
        <f>'Detail Table(Forecast)'!L29</f>
        <v>0</v>
      </c>
      <c r="N29" s="513"/>
      <c r="O29" s="106">
        <f t="shared" si="6"/>
        <v>0</v>
      </c>
      <c r="P29" s="240">
        <f>'Detail Table(Forecast)'!N29</f>
        <v>0</v>
      </c>
      <c r="Q29" s="240">
        <f>'Detail Table(Forecast)'!O29</f>
        <v>0</v>
      </c>
      <c r="R29" s="492">
        <f>'Detail Table(Forecast)'!P29</f>
        <v>0</v>
      </c>
      <c r="S29" s="513"/>
      <c r="T29" s="240">
        <f>'Detail Table(Forecast)'!Q29</f>
        <v>0</v>
      </c>
      <c r="U29" s="240">
        <f>'Detail Table(Forecast)'!R29</f>
        <v>0</v>
      </c>
      <c r="V29" s="492">
        <f>'Detail Table(Forecast)'!S29</f>
        <v>0</v>
      </c>
      <c r="W29" s="513"/>
      <c r="X29" s="106">
        <f t="shared" si="5"/>
        <v>0</v>
      </c>
      <c r="Y29" s="106">
        <f t="shared" si="7"/>
        <v>0</v>
      </c>
    </row>
    <row r="30" spans="1:25" ht="16.5" customHeight="1">
      <c r="A30" s="69">
        <v>20</v>
      </c>
      <c r="B30" s="754"/>
      <c r="C30" s="756"/>
      <c r="D30" s="763"/>
      <c r="E30" s="92" t="s">
        <v>102</v>
      </c>
      <c r="F30" s="374" t="s">
        <v>119</v>
      </c>
      <c r="G30" s="241">
        <f>'Detail Table(Forecast)'!G30</f>
        <v>0</v>
      </c>
      <c r="H30" s="242">
        <f>'Detail Table(Forecast)'!H30</f>
        <v>0</v>
      </c>
      <c r="I30" s="243">
        <f>'Detail Table(Forecast)'!I30</f>
        <v>0</v>
      </c>
      <c r="J30" s="514"/>
      <c r="K30" s="245">
        <f>'Detail Table(Forecast)'!J30</f>
        <v>0</v>
      </c>
      <c r="L30" s="242">
        <f>'Detail Table(Forecast)'!K30</f>
        <v>0</v>
      </c>
      <c r="M30" s="243">
        <f>'Detail Table(Forecast)'!L30</f>
        <v>0</v>
      </c>
      <c r="N30" s="514"/>
      <c r="O30" s="144">
        <f t="shared" si="6"/>
        <v>0</v>
      </c>
      <c r="P30" s="243">
        <f>'Detail Table(Forecast)'!N30</f>
        <v>0</v>
      </c>
      <c r="Q30" s="242">
        <f>'Detail Table(Forecast)'!O30</f>
        <v>0</v>
      </c>
      <c r="R30" s="243">
        <f>'Detail Table(Forecast)'!P30</f>
        <v>0</v>
      </c>
      <c r="S30" s="514"/>
      <c r="T30" s="245">
        <f>'Detail Table(Forecast)'!Q30</f>
        <v>0</v>
      </c>
      <c r="U30" s="242">
        <f>'Detail Table(Forecast)'!R30</f>
        <v>0</v>
      </c>
      <c r="V30" s="243">
        <f>'Detail Table(Forecast)'!S30</f>
        <v>0</v>
      </c>
      <c r="W30" s="514"/>
      <c r="X30" s="144">
        <f t="shared" si="5"/>
        <v>0</v>
      </c>
      <c r="Y30" s="144">
        <f t="shared" si="7"/>
        <v>0</v>
      </c>
    </row>
    <row r="31" spans="1:25" ht="18" customHeight="1">
      <c r="B31" s="754"/>
      <c r="C31" s="756"/>
      <c r="D31" s="758"/>
      <c r="E31" s="98"/>
      <c r="F31" s="379" t="s">
        <v>104</v>
      </c>
      <c r="G31" s="120">
        <f>'Detail Table(Forecast)'!G31</f>
        <v>0</v>
      </c>
      <c r="H31" s="121">
        <f>'Detail Table(Forecast)'!H31</f>
        <v>0</v>
      </c>
      <c r="I31" s="122">
        <f>'Detail Table(Forecast)'!I31</f>
        <v>0</v>
      </c>
      <c r="J31" s="509">
        <f>SUM(G31:I31)</f>
        <v>0</v>
      </c>
      <c r="K31" s="120">
        <f>'Detail Table(Forecast)'!J31</f>
        <v>0</v>
      </c>
      <c r="L31" s="121">
        <f>'Detail Table(Forecast)'!K31</f>
        <v>0</v>
      </c>
      <c r="M31" s="122">
        <f>'Detail Table(Forecast)'!L31</f>
        <v>0</v>
      </c>
      <c r="N31" s="509">
        <f>SUM(K31:M31)</f>
        <v>0</v>
      </c>
      <c r="O31" s="96">
        <f t="shared" si="6"/>
        <v>0</v>
      </c>
      <c r="P31" s="120">
        <f>'Detail Table(Forecast)'!N31</f>
        <v>0</v>
      </c>
      <c r="Q31" s="121">
        <f>'Detail Table(Forecast)'!O31</f>
        <v>0</v>
      </c>
      <c r="R31" s="122">
        <f>'Detail Table(Forecast)'!P31</f>
        <v>0</v>
      </c>
      <c r="S31" s="509">
        <f>SUM(P31:R31)</f>
        <v>0</v>
      </c>
      <c r="T31" s="120">
        <f>'Detail Table(Forecast)'!Q31</f>
        <v>0</v>
      </c>
      <c r="U31" s="121">
        <f>'Detail Table(Forecast)'!R31</f>
        <v>0</v>
      </c>
      <c r="V31" s="122">
        <f>'Detail Table(Forecast)'!S31</f>
        <v>0</v>
      </c>
      <c r="W31" s="509">
        <f>SUM(T31:V31)</f>
        <v>0</v>
      </c>
      <c r="X31" s="96">
        <f>SUM(P31:V31)</f>
        <v>0</v>
      </c>
      <c r="Y31" s="96">
        <f t="shared" si="7"/>
        <v>0</v>
      </c>
    </row>
    <row r="32" spans="1:25" ht="18" customHeight="1">
      <c r="A32" s="69">
        <v>21</v>
      </c>
      <c r="B32" s="754"/>
      <c r="C32" s="756"/>
      <c r="D32" s="758"/>
      <c r="E32" s="375" t="s">
        <v>105</v>
      </c>
      <c r="F32" s="130"/>
      <c r="G32" s="469">
        <f>'Detail Table(Forecast)'!G32</f>
        <v>393.07986492399999</v>
      </c>
      <c r="H32" s="469">
        <f>'Detail Table(Forecast)'!H32</f>
        <v>430.76999862399998</v>
      </c>
      <c r="I32" s="524">
        <f>'Detail Table(Forecast)'!I32</f>
        <v>339.49031702399998</v>
      </c>
      <c r="J32" s="515"/>
      <c r="K32" s="145">
        <f>'Detail Table(Forecast)'!J32</f>
        <v>393.84413802400002</v>
      </c>
      <c r="L32" s="145">
        <f>'Detail Table(Forecast)'!K32</f>
        <v>393.84413802400002</v>
      </c>
      <c r="M32" s="246">
        <f>'Detail Table(Forecast)'!L32</f>
        <v>432.46359422399996</v>
      </c>
      <c r="N32" s="515"/>
      <c r="O32" s="119">
        <f t="shared" si="6"/>
        <v>2383.492050844</v>
      </c>
      <c r="P32" s="145">
        <f>'Detail Table(Forecast)'!N32</f>
        <v>466.66088932399998</v>
      </c>
      <c r="Q32" s="247">
        <f>'Detail Table(Forecast)'!O32</f>
        <v>465.237990524</v>
      </c>
      <c r="R32" s="147">
        <f>'Detail Table(Forecast)'!P32</f>
        <v>376.280829224</v>
      </c>
      <c r="S32" s="515"/>
      <c r="T32" s="145">
        <f>'Detail Table(Forecast)'!Q32</f>
        <v>359.511494524</v>
      </c>
      <c r="U32" s="146">
        <f>'Detail Table(Forecast)'!R32</f>
        <v>372.159065924</v>
      </c>
      <c r="V32" s="147">
        <f>'Detail Table(Forecast)'!S32</f>
        <v>393.07986492399999</v>
      </c>
      <c r="W32" s="515"/>
      <c r="X32" s="119">
        <f t="shared" si="5"/>
        <v>2432.930134444</v>
      </c>
      <c r="Y32" s="119">
        <f t="shared" si="7"/>
        <v>4816.422185288</v>
      </c>
    </row>
    <row r="33" spans="1:25" ht="21" customHeight="1" thickBot="1">
      <c r="B33" s="754"/>
      <c r="C33" s="756"/>
      <c r="D33" s="759"/>
      <c r="E33" s="760" t="s">
        <v>106</v>
      </c>
      <c r="F33" s="761"/>
      <c r="G33" s="135">
        <f>'Detail Table(Forecast)'!G33</f>
        <v>779.79496803147788</v>
      </c>
      <c r="H33" s="132">
        <f>'Detail Table(Forecast)'!H33</f>
        <v>1005.1342749249997</v>
      </c>
      <c r="I33" s="133">
        <f>'Detail Table(Forecast)'!I33</f>
        <v>897.31156070302654</v>
      </c>
      <c r="J33" s="511">
        <f>SUM(G33:I33)</f>
        <v>2682.2408036595043</v>
      </c>
      <c r="K33" s="135">
        <f>'Detail Table(Forecast)'!J33</f>
        <v>990.49596677541751</v>
      </c>
      <c r="L33" s="132">
        <f>'Detail Table(Forecast)'!K33</f>
        <v>988.68305279882088</v>
      </c>
      <c r="M33" s="133">
        <f>'Detail Table(Forecast)'!L33</f>
        <v>1074.7621344730833</v>
      </c>
      <c r="N33" s="511">
        <f>SUM(K33:M33)</f>
        <v>3053.9411540473216</v>
      </c>
      <c r="O33" s="134">
        <f t="shared" si="6"/>
        <v>8418.4227613663297</v>
      </c>
      <c r="P33" s="135">
        <f>'Detail Table(Forecast)'!N33</f>
        <v>1144.4728245879628</v>
      </c>
      <c r="Q33" s="132">
        <f>'Detail Table(Forecast)'!O33</f>
        <v>1093.8309750869375</v>
      </c>
      <c r="R33" s="133">
        <f>'Detail Table(Forecast)'!P33</f>
        <v>763.05312488811683</v>
      </c>
      <c r="S33" s="511">
        <f>SUM(P33:R33)</f>
        <v>3001.3569245630169</v>
      </c>
      <c r="T33" s="135">
        <f>'Detail Table(Forecast)'!Q33</f>
        <v>799.61853851087722</v>
      </c>
      <c r="U33" s="132">
        <f>'Detail Table(Forecast)'!R33</f>
        <v>929.29555443016466</v>
      </c>
      <c r="V33" s="133">
        <f>'Detail Table(Forecast)'!S33</f>
        <v>626.36312196201743</v>
      </c>
      <c r="W33" s="511">
        <f>SUM(T33:V33)</f>
        <v>2355.2772149030593</v>
      </c>
      <c r="X33" s="134">
        <f>SUM(P33:V33)</f>
        <v>8357.9910640290946</v>
      </c>
      <c r="Y33" s="134">
        <f t="shared" si="7"/>
        <v>16776.413825395422</v>
      </c>
    </row>
    <row r="34" spans="1:25" ht="21" customHeight="1" thickTop="1" thickBot="1">
      <c r="B34" s="754"/>
      <c r="C34" s="757"/>
      <c r="D34" s="784" t="s">
        <v>107</v>
      </c>
      <c r="E34" s="784"/>
      <c r="F34" s="785"/>
      <c r="G34" s="148">
        <f>'Detail Table(Forecast)'!G34</f>
        <v>795.81884765481448</v>
      </c>
      <c r="H34" s="148">
        <f>'Detail Table(Forecast)'!H34</f>
        <v>1022.8329668253516</v>
      </c>
      <c r="I34" s="493">
        <f>'Detail Table(Forecast)'!I34</f>
        <v>911.46447886375131</v>
      </c>
      <c r="J34" s="516">
        <f>SUM(G34:I34)</f>
        <v>2730.1162933439173</v>
      </c>
      <c r="K34" s="148">
        <f>'Detail Table(Forecast)'!J34</f>
        <v>1006.9196889693928</v>
      </c>
      <c r="L34" s="148">
        <f>'Detail Table(Forecast)'!K34</f>
        <v>1005.1067749927962</v>
      </c>
      <c r="M34" s="493">
        <f>'Detail Table(Forecast)'!L34</f>
        <v>1094.2110806449109</v>
      </c>
      <c r="N34" s="516">
        <f>SUM(K34:M34)</f>
        <v>3106.2375446071001</v>
      </c>
      <c r="O34" s="149">
        <f>SUM(G34:I34,K34:M34)</f>
        <v>5836.3538379510173</v>
      </c>
      <c r="P34" s="148">
        <f>'Detail Table(Forecast)'!N34</f>
        <v>1166.0643234024587</v>
      </c>
      <c r="Q34" s="148">
        <f>'Detail Table(Forecast)'!O34</f>
        <v>1114.8491147435363</v>
      </c>
      <c r="R34" s="493">
        <f>'Detail Table(Forecast)'!P34</f>
        <v>779.66545206824253</v>
      </c>
      <c r="S34" s="516">
        <f>SUM(P34:R34)</f>
        <v>3060.5788902142376</v>
      </c>
      <c r="T34" s="148">
        <f>'Detail Table(Forecast)'!Q34</f>
        <v>813.34143730317908</v>
      </c>
      <c r="U34" s="148">
        <f>'Detail Table(Forecast)'!R34</f>
        <v>943.26741180418503</v>
      </c>
      <c r="V34" s="493">
        <f>'Detail Table(Forecast)'!S34</f>
        <v>643.4356453083501</v>
      </c>
      <c r="W34" s="516">
        <f>SUM(T34:V34)</f>
        <v>2400.0444944157143</v>
      </c>
      <c r="X34" s="149">
        <f>SUM(P34:R34,T34:V34)</f>
        <v>5460.6233846299519</v>
      </c>
      <c r="Y34" s="149">
        <f>O34+X34</f>
        <v>11296.977222580968</v>
      </c>
    </row>
    <row r="35" spans="1:25" ht="16.5" customHeight="1">
      <c r="A35" s="35">
        <v>22</v>
      </c>
      <c r="B35" s="754"/>
      <c r="C35" s="786" t="s">
        <v>52</v>
      </c>
      <c r="D35" s="788" t="s">
        <v>108</v>
      </c>
      <c r="E35" s="380" t="s">
        <v>109</v>
      </c>
      <c r="F35" s="381" t="s">
        <v>110</v>
      </c>
      <c r="G35" s="150">
        <f>'Detail Table(Forecast)'!G35</f>
        <v>0</v>
      </c>
      <c r="H35" s="151">
        <f>'Detail Table(Forecast)'!H35</f>
        <v>0</v>
      </c>
      <c r="I35" s="152">
        <f>'Detail Table(Forecast)'!I35</f>
        <v>0</v>
      </c>
      <c r="J35" s="517"/>
      <c r="K35" s="150">
        <f>'Detail Table(Forecast)'!J35</f>
        <v>0</v>
      </c>
      <c r="L35" s="151">
        <f>'Detail Table(Forecast)'!K35</f>
        <v>0</v>
      </c>
      <c r="M35" s="152">
        <f>'Detail Table(Forecast)'!L35</f>
        <v>0</v>
      </c>
      <c r="N35" s="517"/>
      <c r="O35" s="153"/>
      <c r="P35" s="150">
        <f>'Detail Table(Forecast)'!N35</f>
        <v>0</v>
      </c>
      <c r="Q35" s="151">
        <f>'Detail Table(Forecast)'!O35</f>
        <v>0</v>
      </c>
      <c r="R35" s="152">
        <f>'Detail Table(Forecast)'!P35</f>
        <v>0</v>
      </c>
      <c r="S35" s="517"/>
      <c r="T35" s="150">
        <f>'Detail Table(Forecast)'!Q35</f>
        <v>0</v>
      </c>
      <c r="U35" s="151">
        <f>'Detail Table(Forecast)'!R35</f>
        <v>0</v>
      </c>
      <c r="V35" s="152">
        <f>'Detail Table(Forecast)'!S35</f>
        <v>0</v>
      </c>
      <c r="W35" s="517"/>
      <c r="X35" s="153"/>
      <c r="Y35" s="153"/>
    </row>
    <row r="36" spans="1:25" ht="16.5" customHeight="1">
      <c r="A36" s="35">
        <v>23</v>
      </c>
      <c r="B36" s="754"/>
      <c r="C36" s="787"/>
      <c r="D36" s="789"/>
      <c r="E36" s="155"/>
      <c r="F36" s="382" t="s">
        <v>111</v>
      </c>
      <c r="G36" s="156">
        <f>'Detail Table(Forecast)'!G36</f>
        <v>0</v>
      </c>
      <c r="H36" s="157">
        <f>'Detail Table(Forecast)'!H36</f>
        <v>0</v>
      </c>
      <c r="I36" s="158">
        <f>'Detail Table(Forecast)'!I36</f>
        <v>0</v>
      </c>
      <c r="J36" s="518"/>
      <c r="K36" s="156">
        <f>'Detail Table(Forecast)'!J36</f>
        <v>0</v>
      </c>
      <c r="L36" s="157">
        <f>'Detail Table(Forecast)'!K36</f>
        <v>0</v>
      </c>
      <c r="M36" s="158">
        <f>'Detail Table(Forecast)'!L36</f>
        <v>0</v>
      </c>
      <c r="N36" s="518"/>
      <c r="O36" s="159"/>
      <c r="P36" s="156">
        <f>'Detail Table(Forecast)'!N36</f>
        <v>0</v>
      </c>
      <c r="Q36" s="157">
        <f>'Detail Table(Forecast)'!O36</f>
        <v>0</v>
      </c>
      <c r="R36" s="158">
        <f>'Detail Table(Forecast)'!P36</f>
        <v>0</v>
      </c>
      <c r="S36" s="518"/>
      <c r="T36" s="156">
        <f>'Detail Table(Forecast)'!Q36</f>
        <v>0</v>
      </c>
      <c r="U36" s="157">
        <f>'Detail Table(Forecast)'!R36</f>
        <v>0</v>
      </c>
      <c r="V36" s="158">
        <f>'Detail Table(Forecast)'!S36</f>
        <v>0</v>
      </c>
      <c r="W36" s="518"/>
      <c r="X36" s="159"/>
      <c r="Y36" s="159"/>
    </row>
    <row r="37" spans="1:25" ht="16.5" customHeight="1">
      <c r="A37" s="35">
        <v>24</v>
      </c>
      <c r="B37" s="754"/>
      <c r="C37" s="787"/>
      <c r="D37" s="789"/>
      <c r="E37" s="791" t="s">
        <v>117</v>
      </c>
      <c r="F37" s="382" t="s">
        <v>120</v>
      </c>
      <c r="G37" s="161">
        <f>'Detail Table(Forecast)'!G37</f>
        <v>0</v>
      </c>
      <c r="H37" s="161">
        <f>'Detail Table(Forecast)'!H37</f>
        <v>0</v>
      </c>
      <c r="I37" s="494">
        <f>'Detail Table(Forecast)'!I37</f>
        <v>0</v>
      </c>
      <c r="J37" s="519"/>
      <c r="K37" s="161">
        <f>'Detail Table(Forecast)'!J37</f>
        <v>0</v>
      </c>
      <c r="L37" s="161">
        <f>'Detail Table(Forecast)'!K37</f>
        <v>0</v>
      </c>
      <c r="M37" s="494">
        <f>'Detail Table(Forecast)'!L37</f>
        <v>0</v>
      </c>
      <c r="N37" s="519"/>
      <c r="O37" s="162">
        <f>SUM(G37:M37)</f>
        <v>0</v>
      </c>
      <c r="P37" s="161">
        <f>'Detail Table(Forecast)'!N37</f>
        <v>0</v>
      </c>
      <c r="Q37" s="161">
        <f>'Detail Table(Forecast)'!O37</f>
        <v>0</v>
      </c>
      <c r="R37" s="494">
        <f>'Detail Table(Forecast)'!P37</f>
        <v>0</v>
      </c>
      <c r="S37" s="519"/>
      <c r="T37" s="161">
        <f>'Detail Table(Forecast)'!Q37</f>
        <v>0</v>
      </c>
      <c r="U37" s="161">
        <f>'Detail Table(Forecast)'!R37</f>
        <v>0</v>
      </c>
      <c r="V37" s="494">
        <f>'Detail Table(Forecast)'!S37</f>
        <v>0</v>
      </c>
      <c r="W37" s="519"/>
      <c r="X37" s="162">
        <f>SUM(P37:V37)</f>
        <v>0</v>
      </c>
      <c r="Y37" s="162">
        <f>O37+X37</f>
        <v>0</v>
      </c>
    </row>
    <row r="38" spans="1:25" ht="16.5" customHeight="1">
      <c r="A38" s="35">
        <v>25</v>
      </c>
      <c r="B38" s="754"/>
      <c r="C38" s="787"/>
      <c r="D38" s="789"/>
      <c r="E38" s="791"/>
      <c r="F38" s="382" t="s">
        <v>112</v>
      </c>
      <c r="G38" s="161">
        <f>'Detail Table(Forecast)'!G38</f>
        <v>210.21170898074308</v>
      </c>
      <c r="H38" s="161">
        <f>'Detail Table(Forecast)'!H38</f>
        <v>204.15712079920596</v>
      </c>
      <c r="I38" s="494">
        <f>'Detail Table(Forecast)'!I38</f>
        <v>207.948198038551</v>
      </c>
      <c r="J38" s="519">
        <f>SUM(G38:I38)</f>
        <v>622.31702781850004</v>
      </c>
      <c r="K38" s="161">
        <f>'Detail Table(Forecast)'!J38</f>
        <v>204.15712079920596</v>
      </c>
      <c r="L38" s="161">
        <f>'Detail Table(Forecast)'!K38</f>
        <v>207.948198038551</v>
      </c>
      <c r="M38" s="494">
        <f>'Detail Table(Forecast)'!L38</f>
        <v>207.3163518319935</v>
      </c>
      <c r="N38" s="519">
        <f>SUM(K38:M38)</f>
        <v>619.42167066975048</v>
      </c>
      <c r="O38" s="162">
        <f>SUM(G38:M38)</f>
        <v>1864.0557263067506</v>
      </c>
      <c r="P38" s="161">
        <f>'Detail Table(Forecast)'!N38</f>
        <v>228.96113915224859</v>
      </c>
      <c r="Q38" s="161">
        <f>'Detail Table(Forecast)'!O38</f>
        <v>233.78137366071695</v>
      </c>
      <c r="R38" s="494">
        <f>'Detail Table(Forecast)'!P38</f>
        <v>236.1914909149512</v>
      </c>
      <c r="S38" s="519">
        <f>SUM(P38:R38)</f>
        <v>698.93400372791666</v>
      </c>
      <c r="T38" s="161">
        <f>'Detail Table(Forecast)'!Q38</f>
        <v>219.04057228614681</v>
      </c>
      <c r="U38" s="161">
        <f>'Detail Table(Forecast)'!R38</f>
        <v>141.53388267660839</v>
      </c>
      <c r="V38" s="494">
        <f>'Detail Table(Forecast)'!S38</f>
        <v>161.05098381421266</v>
      </c>
      <c r="W38" s="519">
        <f>SUM(T38:V38)</f>
        <v>521.62543877696794</v>
      </c>
      <c r="X38" s="162">
        <f>SUM(P38:V38)</f>
        <v>1919.4934462328013</v>
      </c>
      <c r="Y38" s="162">
        <f>O38+X38</f>
        <v>3783.5491725395518</v>
      </c>
    </row>
    <row r="39" spans="1:25" ht="16.5" customHeight="1">
      <c r="A39" s="35">
        <v>26</v>
      </c>
      <c r="B39" s="754"/>
      <c r="C39" s="787"/>
      <c r="D39" s="789"/>
      <c r="E39" s="155"/>
      <c r="F39" s="382" t="s">
        <v>113</v>
      </c>
      <c r="G39" s="156">
        <f>'Detail Table(Forecast)'!G39</f>
        <v>0</v>
      </c>
      <c r="H39" s="157">
        <f>'Detail Table(Forecast)'!H39</f>
        <v>0</v>
      </c>
      <c r="I39" s="158">
        <f>'Detail Table(Forecast)'!I39</f>
        <v>0</v>
      </c>
      <c r="J39" s="518"/>
      <c r="K39" s="156">
        <f>'Detail Table(Forecast)'!J39</f>
        <v>0</v>
      </c>
      <c r="L39" s="157">
        <f>'Detail Table(Forecast)'!K39</f>
        <v>0</v>
      </c>
      <c r="M39" s="158">
        <f>'Detail Table(Forecast)'!L39</f>
        <v>0</v>
      </c>
      <c r="N39" s="518"/>
      <c r="O39" s="159"/>
      <c r="P39" s="156">
        <f>'Detail Table(Forecast)'!N39</f>
        <v>0</v>
      </c>
      <c r="Q39" s="157">
        <f>'Detail Table(Forecast)'!O39</f>
        <v>0</v>
      </c>
      <c r="R39" s="158">
        <f>'Detail Table(Forecast)'!P39</f>
        <v>0</v>
      </c>
      <c r="S39" s="518"/>
      <c r="T39" s="156">
        <f>'Detail Table(Forecast)'!Q39</f>
        <v>0</v>
      </c>
      <c r="U39" s="157">
        <f>'Detail Table(Forecast)'!R39</f>
        <v>0</v>
      </c>
      <c r="V39" s="158">
        <f>'Detail Table(Forecast)'!S39</f>
        <v>0</v>
      </c>
      <c r="W39" s="518"/>
      <c r="X39" s="159"/>
      <c r="Y39" s="159"/>
    </row>
    <row r="40" spans="1:25" ht="16.5" customHeight="1">
      <c r="A40" s="35">
        <v>27</v>
      </c>
      <c r="B40" s="754"/>
      <c r="C40" s="787"/>
      <c r="D40" s="789"/>
      <c r="E40" s="163"/>
      <c r="F40" s="383" t="s">
        <v>44</v>
      </c>
      <c r="G40" s="164">
        <f>'Detail Table(Forecast)'!G40</f>
        <v>0</v>
      </c>
      <c r="H40" s="165">
        <f>'Detail Table(Forecast)'!H40</f>
        <v>0</v>
      </c>
      <c r="I40" s="166">
        <f>'Detail Table(Forecast)'!I40</f>
        <v>0</v>
      </c>
      <c r="J40" s="520"/>
      <c r="K40" s="164">
        <f>'Detail Table(Forecast)'!J40</f>
        <v>0</v>
      </c>
      <c r="L40" s="165">
        <f>'Detail Table(Forecast)'!K40</f>
        <v>0</v>
      </c>
      <c r="M40" s="166">
        <f>'Detail Table(Forecast)'!L40</f>
        <v>0</v>
      </c>
      <c r="N40" s="520"/>
      <c r="O40" s="167">
        <f>SUM(G40:M40)</f>
        <v>0</v>
      </c>
      <c r="P40" s="164">
        <f>'Detail Table(Forecast)'!N40</f>
        <v>0</v>
      </c>
      <c r="Q40" s="165">
        <f>'Detail Table(Forecast)'!O40</f>
        <v>0</v>
      </c>
      <c r="R40" s="166">
        <f>'Detail Table(Forecast)'!P40</f>
        <v>0</v>
      </c>
      <c r="S40" s="520"/>
      <c r="T40" s="164">
        <f>'Detail Table(Forecast)'!Q40</f>
        <v>0</v>
      </c>
      <c r="U40" s="165">
        <f>'Detail Table(Forecast)'!R40</f>
        <v>0</v>
      </c>
      <c r="V40" s="166">
        <f>'Detail Table(Forecast)'!S40</f>
        <v>0</v>
      </c>
      <c r="W40" s="520"/>
      <c r="X40" s="167">
        <f>SUM(P40:V40)</f>
        <v>0</v>
      </c>
      <c r="Y40" s="167">
        <f>O40+X40</f>
        <v>0</v>
      </c>
    </row>
    <row r="41" spans="1:25" ht="18" customHeight="1" thickBot="1">
      <c r="B41" s="754"/>
      <c r="C41" s="787"/>
      <c r="D41" s="789"/>
      <c r="E41" s="169"/>
      <c r="F41" s="379" t="s">
        <v>114</v>
      </c>
      <c r="G41" s="170">
        <f>'Detail Table(Forecast)'!G41</f>
        <v>210.21170898074308</v>
      </c>
      <c r="H41" s="170">
        <f>'Detail Table(Forecast)'!H41</f>
        <v>204.15712079920596</v>
      </c>
      <c r="I41" s="495">
        <f>'Detail Table(Forecast)'!I41</f>
        <v>207.948198038551</v>
      </c>
      <c r="J41" s="171">
        <f>SUM(G41:I41)</f>
        <v>622.31702781850004</v>
      </c>
      <c r="K41" s="170">
        <f>'Detail Table(Forecast)'!J41</f>
        <v>204.15712079920596</v>
      </c>
      <c r="L41" s="170">
        <f>'Detail Table(Forecast)'!K41</f>
        <v>207.948198038551</v>
      </c>
      <c r="M41" s="495">
        <f>'Detail Table(Forecast)'!L41</f>
        <v>207.3163518319935</v>
      </c>
      <c r="N41" s="171">
        <f>SUM(K41:M41)</f>
        <v>619.42167066975048</v>
      </c>
      <c r="O41" s="171">
        <f>SUM(G41:M41)</f>
        <v>1864.0557263067506</v>
      </c>
      <c r="P41" s="170">
        <f>'Detail Table(Forecast)'!N41</f>
        <v>228.96113915224859</v>
      </c>
      <c r="Q41" s="170">
        <f>'Detail Table(Forecast)'!O41</f>
        <v>233.78137366071695</v>
      </c>
      <c r="R41" s="495">
        <f>'Detail Table(Forecast)'!P41</f>
        <v>236.1914909149512</v>
      </c>
      <c r="S41" s="171">
        <f>SUM(P41:R41)</f>
        <v>698.93400372791666</v>
      </c>
      <c r="T41" s="170">
        <f>'Detail Table(Forecast)'!Q41</f>
        <v>219.04057228614681</v>
      </c>
      <c r="U41" s="170">
        <f>'Detail Table(Forecast)'!R41</f>
        <v>141.53388267660839</v>
      </c>
      <c r="V41" s="495">
        <f>'Detail Table(Forecast)'!S41</f>
        <v>161.05098381421266</v>
      </c>
      <c r="W41" s="171">
        <f>SUM(T41:V41)</f>
        <v>521.62543877696794</v>
      </c>
      <c r="X41" s="171">
        <f>SUM(P41:V41)</f>
        <v>1919.4934462328013</v>
      </c>
      <c r="Y41" s="171">
        <f>O41+X41</f>
        <v>3783.5491725395518</v>
      </c>
    </row>
    <row r="42" spans="1:25" ht="16.5" hidden="1" customHeight="1">
      <c r="A42" s="35">
        <v>29</v>
      </c>
      <c r="B42" s="754"/>
      <c r="C42" s="787"/>
      <c r="D42" s="789"/>
      <c r="E42" s="384" t="s">
        <v>121</v>
      </c>
      <c r="F42" s="385"/>
      <c r="G42" s="172">
        <f>'Detail Table(Forecast)'!G42</f>
        <v>0</v>
      </c>
      <c r="H42" s="173">
        <f>'Detail Table(Forecast)'!H42</f>
        <v>0</v>
      </c>
      <c r="I42" s="174">
        <f>'Detail Table(Forecast)'!I42</f>
        <v>0</v>
      </c>
      <c r="J42" s="178"/>
      <c r="K42" s="172">
        <f>'Detail Table(Forecast)'!J42</f>
        <v>0</v>
      </c>
      <c r="L42" s="173">
        <f>'Detail Table(Forecast)'!K42</f>
        <v>0</v>
      </c>
      <c r="M42" s="174">
        <f>'Detail Table(Forecast)'!L42</f>
        <v>0</v>
      </c>
      <c r="N42" s="178"/>
      <c r="O42" s="176"/>
      <c r="P42" s="172">
        <f>'Detail Table(Forecast)'!N42</f>
        <v>0</v>
      </c>
      <c r="Q42" s="173">
        <f>'Detail Table(Forecast)'!O42</f>
        <v>0</v>
      </c>
      <c r="R42" s="174">
        <f>'Detail Table(Forecast)'!P42</f>
        <v>0</v>
      </c>
      <c r="S42" s="178"/>
      <c r="T42" s="172">
        <f>'Detail Table(Forecast)'!Q42</f>
        <v>0</v>
      </c>
      <c r="U42" s="173">
        <f>'Detail Table(Forecast)'!R42</f>
        <v>0</v>
      </c>
      <c r="V42" s="174">
        <f>'Detail Table(Forecast)'!S42</f>
        <v>0</v>
      </c>
      <c r="W42" s="178"/>
      <c r="X42" s="176"/>
      <c r="Y42" s="178"/>
    </row>
    <row r="43" spans="1:25" ht="16.5" hidden="1" customHeight="1">
      <c r="A43" s="35">
        <v>30</v>
      </c>
      <c r="B43" s="754"/>
      <c r="C43" s="787"/>
      <c r="D43" s="789"/>
      <c r="E43" s="155" t="s">
        <v>122</v>
      </c>
      <c r="F43" s="386" t="s">
        <v>123</v>
      </c>
      <c r="G43" s="179">
        <f>'Detail Table(Forecast)'!G43</f>
        <v>0</v>
      </c>
      <c r="H43" s="180">
        <f>'Detail Table(Forecast)'!H43</f>
        <v>0</v>
      </c>
      <c r="I43" s="181">
        <f>'Detail Table(Forecast)'!I43</f>
        <v>0</v>
      </c>
      <c r="J43" s="521"/>
      <c r="K43" s="179">
        <f>'Detail Table(Forecast)'!J43</f>
        <v>0</v>
      </c>
      <c r="L43" s="180">
        <f>'Detail Table(Forecast)'!K43</f>
        <v>0</v>
      </c>
      <c r="M43" s="181">
        <f>'Detail Table(Forecast)'!L43</f>
        <v>0</v>
      </c>
      <c r="N43" s="521"/>
      <c r="O43" s="182"/>
      <c r="P43" s="179">
        <f>'Detail Table(Forecast)'!N43</f>
        <v>0</v>
      </c>
      <c r="Q43" s="180">
        <f>'Detail Table(Forecast)'!O43</f>
        <v>0</v>
      </c>
      <c r="R43" s="181">
        <f>'Detail Table(Forecast)'!P43</f>
        <v>0</v>
      </c>
      <c r="S43" s="521"/>
      <c r="T43" s="179">
        <f>'Detail Table(Forecast)'!Q43</f>
        <v>0</v>
      </c>
      <c r="U43" s="180">
        <f>'Detail Table(Forecast)'!R43</f>
        <v>0</v>
      </c>
      <c r="V43" s="181">
        <f>'Detail Table(Forecast)'!S43</f>
        <v>0</v>
      </c>
      <c r="W43" s="521"/>
      <c r="X43" s="182"/>
      <c r="Y43" s="184"/>
    </row>
    <row r="44" spans="1:25" ht="16.5" hidden="1" customHeight="1">
      <c r="A44" s="35">
        <v>31</v>
      </c>
      <c r="B44" s="754"/>
      <c r="C44" s="787"/>
      <c r="D44" s="789"/>
      <c r="E44" s="155" t="s">
        <v>124</v>
      </c>
      <c r="F44" s="382" t="s">
        <v>125</v>
      </c>
      <c r="G44" s="185">
        <f>'Detail Table(Forecast)'!G44</f>
        <v>0</v>
      </c>
      <c r="H44" s="186">
        <f>'Detail Table(Forecast)'!H44</f>
        <v>0</v>
      </c>
      <c r="I44" s="187">
        <f>'Detail Table(Forecast)'!I44</f>
        <v>0</v>
      </c>
      <c r="J44" s="182"/>
      <c r="K44" s="185">
        <f>'Detail Table(Forecast)'!J44</f>
        <v>0</v>
      </c>
      <c r="L44" s="186">
        <f>'Detail Table(Forecast)'!K44</f>
        <v>0</v>
      </c>
      <c r="M44" s="187">
        <f>'Detail Table(Forecast)'!L44</f>
        <v>0</v>
      </c>
      <c r="N44" s="182"/>
      <c r="O44" s="182"/>
      <c r="P44" s="185">
        <f>'Detail Table(Forecast)'!N44</f>
        <v>0</v>
      </c>
      <c r="Q44" s="186">
        <f>'Detail Table(Forecast)'!O44</f>
        <v>0</v>
      </c>
      <c r="R44" s="187">
        <f>'Detail Table(Forecast)'!P44</f>
        <v>0</v>
      </c>
      <c r="S44" s="182"/>
      <c r="T44" s="185">
        <f>'Detail Table(Forecast)'!Q44</f>
        <v>0</v>
      </c>
      <c r="U44" s="186">
        <f>'Detail Table(Forecast)'!R44</f>
        <v>0</v>
      </c>
      <c r="V44" s="187">
        <f>'Detail Table(Forecast)'!S44</f>
        <v>0</v>
      </c>
      <c r="W44" s="182"/>
      <c r="X44" s="182"/>
      <c r="Y44" s="182"/>
    </row>
    <row r="45" spans="1:25" ht="16.5" hidden="1" customHeight="1">
      <c r="A45" s="35">
        <v>32</v>
      </c>
      <c r="B45" s="754"/>
      <c r="C45" s="787"/>
      <c r="D45" s="789"/>
      <c r="E45" s="155"/>
      <c r="F45" s="387" t="s">
        <v>126</v>
      </c>
      <c r="G45" s="179">
        <f>'Detail Table(Forecast)'!G45</f>
        <v>0</v>
      </c>
      <c r="H45" s="180">
        <f>'Detail Table(Forecast)'!H45</f>
        <v>0</v>
      </c>
      <c r="I45" s="181">
        <f>'Detail Table(Forecast)'!I45</f>
        <v>0</v>
      </c>
      <c r="J45" s="521"/>
      <c r="K45" s="179">
        <f>'Detail Table(Forecast)'!J45</f>
        <v>0</v>
      </c>
      <c r="L45" s="180">
        <f>'Detail Table(Forecast)'!K45</f>
        <v>0</v>
      </c>
      <c r="M45" s="181">
        <f>'Detail Table(Forecast)'!L45</f>
        <v>0</v>
      </c>
      <c r="N45" s="521"/>
      <c r="O45" s="189"/>
      <c r="P45" s="179">
        <f>'Detail Table(Forecast)'!N45</f>
        <v>0</v>
      </c>
      <c r="Q45" s="180">
        <f>'Detail Table(Forecast)'!O45</f>
        <v>0</v>
      </c>
      <c r="R45" s="181">
        <f>'Detail Table(Forecast)'!P45</f>
        <v>0</v>
      </c>
      <c r="S45" s="521"/>
      <c r="T45" s="179">
        <f>'Detail Table(Forecast)'!Q45</f>
        <v>0</v>
      </c>
      <c r="U45" s="180">
        <f>'Detail Table(Forecast)'!R45</f>
        <v>0</v>
      </c>
      <c r="V45" s="181">
        <f>'Detail Table(Forecast)'!S45</f>
        <v>0</v>
      </c>
      <c r="W45" s="521"/>
      <c r="X45" s="189"/>
      <c r="Y45" s="189"/>
    </row>
    <row r="46" spans="1:25" ht="16.5" hidden="1" customHeight="1">
      <c r="B46" s="754"/>
      <c r="C46" s="787"/>
      <c r="D46" s="789"/>
      <c r="E46" s="155"/>
      <c r="F46" s="379" t="s">
        <v>127</v>
      </c>
      <c r="G46" s="172">
        <f>'Detail Table(Forecast)'!G46</f>
        <v>0</v>
      </c>
      <c r="H46" s="173">
        <f>'Detail Table(Forecast)'!H46</f>
        <v>0</v>
      </c>
      <c r="I46" s="174">
        <f>'Detail Table(Forecast)'!I46</f>
        <v>0</v>
      </c>
      <c r="J46" s="178"/>
      <c r="K46" s="172">
        <f>'Detail Table(Forecast)'!J46</f>
        <v>0</v>
      </c>
      <c r="L46" s="173">
        <f>'Detail Table(Forecast)'!K46</f>
        <v>0</v>
      </c>
      <c r="M46" s="174">
        <f>'Detail Table(Forecast)'!L46</f>
        <v>0</v>
      </c>
      <c r="N46" s="178"/>
      <c r="O46" s="176"/>
      <c r="P46" s="172">
        <f>'Detail Table(Forecast)'!N46</f>
        <v>0</v>
      </c>
      <c r="Q46" s="173">
        <f>'Detail Table(Forecast)'!O46</f>
        <v>0</v>
      </c>
      <c r="R46" s="174">
        <f>'Detail Table(Forecast)'!P46</f>
        <v>0</v>
      </c>
      <c r="S46" s="178"/>
      <c r="T46" s="172">
        <f>'Detail Table(Forecast)'!Q46</f>
        <v>0</v>
      </c>
      <c r="U46" s="173">
        <f>'Detail Table(Forecast)'!R46</f>
        <v>0</v>
      </c>
      <c r="V46" s="174">
        <f>'Detail Table(Forecast)'!S46</f>
        <v>0</v>
      </c>
      <c r="W46" s="178"/>
      <c r="X46" s="176"/>
      <c r="Y46" s="176"/>
    </row>
    <row r="47" spans="1:25" ht="18.75" hidden="1" customHeight="1" thickBot="1">
      <c r="B47" s="754"/>
      <c r="C47" s="787"/>
      <c r="D47" s="790"/>
      <c r="E47" s="774" t="s">
        <v>128</v>
      </c>
      <c r="F47" s="775"/>
      <c r="G47" s="190">
        <f>'Detail Table(Forecast)'!G47</f>
        <v>0</v>
      </c>
      <c r="H47" s="191">
        <f>'Detail Table(Forecast)'!H47</f>
        <v>0</v>
      </c>
      <c r="I47" s="192">
        <f>'Detail Table(Forecast)'!I47</f>
        <v>0</v>
      </c>
      <c r="J47" s="193"/>
      <c r="K47" s="190">
        <f>'Detail Table(Forecast)'!J47</f>
        <v>0</v>
      </c>
      <c r="L47" s="191">
        <f>'Detail Table(Forecast)'!K47</f>
        <v>0</v>
      </c>
      <c r="M47" s="192">
        <f>'Detail Table(Forecast)'!L47</f>
        <v>0</v>
      </c>
      <c r="N47" s="193"/>
      <c r="O47" s="193"/>
      <c r="P47" s="190">
        <f>'Detail Table(Forecast)'!N47</f>
        <v>0</v>
      </c>
      <c r="Q47" s="191">
        <f>'Detail Table(Forecast)'!O47</f>
        <v>0</v>
      </c>
      <c r="R47" s="192">
        <f>'Detail Table(Forecast)'!P47</f>
        <v>0</v>
      </c>
      <c r="S47" s="193"/>
      <c r="T47" s="190">
        <f>'Detail Table(Forecast)'!Q47</f>
        <v>0</v>
      </c>
      <c r="U47" s="191">
        <f>'Detail Table(Forecast)'!R47</f>
        <v>0</v>
      </c>
      <c r="V47" s="192">
        <f>'Detail Table(Forecast)'!S47</f>
        <v>0</v>
      </c>
      <c r="W47" s="193"/>
      <c r="X47" s="193"/>
      <c r="Y47" s="193"/>
    </row>
    <row r="48" spans="1:25" ht="16.5" hidden="1" customHeight="1" thickTop="1">
      <c r="A48" s="35">
        <v>33</v>
      </c>
      <c r="B48" s="195"/>
      <c r="C48" s="787"/>
      <c r="D48" s="792" t="s">
        <v>129</v>
      </c>
      <c r="E48" s="793"/>
      <c r="F48" s="388" t="s">
        <v>130</v>
      </c>
      <c r="G48" s="196">
        <f>'Detail Table(Forecast)'!G48</f>
        <v>0</v>
      </c>
      <c r="H48" s="197">
        <f>'Detail Table(Forecast)'!H48</f>
        <v>0</v>
      </c>
      <c r="I48" s="198">
        <f>'Detail Table(Forecast)'!I48</f>
        <v>0</v>
      </c>
      <c r="J48" s="176"/>
      <c r="K48" s="196">
        <f>'Detail Table(Forecast)'!J48</f>
        <v>0</v>
      </c>
      <c r="L48" s="197">
        <f>'Detail Table(Forecast)'!K48</f>
        <v>0</v>
      </c>
      <c r="M48" s="198">
        <f>'Detail Table(Forecast)'!L48</f>
        <v>0</v>
      </c>
      <c r="N48" s="176"/>
      <c r="O48" s="176"/>
      <c r="P48" s="196">
        <f>'Detail Table(Forecast)'!N48</f>
        <v>0</v>
      </c>
      <c r="Q48" s="197">
        <f>'Detail Table(Forecast)'!O48</f>
        <v>0</v>
      </c>
      <c r="R48" s="198">
        <f>'Detail Table(Forecast)'!P48</f>
        <v>0</v>
      </c>
      <c r="S48" s="176"/>
      <c r="T48" s="196">
        <f>'Detail Table(Forecast)'!Q48</f>
        <v>0</v>
      </c>
      <c r="U48" s="197">
        <f>'Detail Table(Forecast)'!R48</f>
        <v>0</v>
      </c>
      <c r="V48" s="198">
        <f>'Detail Table(Forecast)'!S48</f>
        <v>0</v>
      </c>
      <c r="W48" s="176"/>
      <c r="X48" s="176"/>
      <c r="Y48" s="176"/>
    </row>
    <row r="49" spans="1:25" ht="16.5" hidden="1" customHeight="1">
      <c r="A49" s="35">
        <v>34</v>
      </c>
      <c r="B49" s="195"/>
      <c r="C49" s="787"/>
      <c r="D49" s="794"/>
      <c r="E49" s="795"/>
      <c r="F49" s="389" t="s">
        <v>131</v>
      </c>
      <c r="G49" s="196">
        <f>'Detail Table(Forecast)'!G49</f>
        <v>0</v>
      </c>
      <c r="H49" s="197">
        <f>'Detail Table(Forecast)'!H49</f>
        <v>0</v>
      </c>
      <c r="I49" s="198">
        <f>'Detail Table(Forecast)'!I49</f>
        <v>0</v>
      </c>
      <c r="J49" s="176"/>
      <c r="K49" s="196">
        <f>'Detail Table(Forecast)'!J49</f>
        <v>0</v>
      </c>
      <c r="L49" s="197">
        <f>'Detail Table(Forecast)'!K49</f>
        <v>0</v>
      </c>
      <c r="M49" s="198">
        <f>'Detail Table(Forecast)'!L49</f>
        <v>0</v>
      </c>
      <c r="N49" s="176"/>
      <c r="O49" s="176"/>
      <c r="P49" s="196">
        <f>'Detail Table(Forecast)'!N49</f>
        <v>0</v>
      </c>
      <c r="Q49" s="197">
        <f>'Detail Table(Forecast)'!O49</f>
        <v>0</v>
      </c>
      <c r="R49" s="198">
        <f>'Detail Table(Forecast)'!P49</f>
        <v>0</v>
      </c>
      <c r="S49" s="176"/>
      <c r="T49" s="196">
        <f>'Detail Table(Forecast)'!Q49</f>
        <v>0</v>
      </c>
      <c r="U49" s="197">
        <f>'Detail Table(Forecast)'!R49</f>
        <v>0</v>
      </c>
      <c r="V49" s="198">
        <f>'Detail Table(Forecast)'!S49</f>
        <v>0</v>
      </c>
      <c r="W49" s="176"/>
      <c r="X49" s="176"/>
      <c r="Y49" s="176"/>
    </row>
    <row r="50" spans="1:25" ht="16.5" hidden="1" customHeight="1">
      <c r="B50" s="195"/>
      <c r="C50" s="787"/>
      <c r="D50" s="390"/>
      <c r="E50" s="391"/>
      <c r="F50" s="379" t="s">
        <v>132</v>
      </c>
      <c r="G50" s="196">
        <f>'Detail Table(Forecast)'!G50</f>
        <v>0</v>
      </c>
      <c r="H50" s="197">
        <f>'Detail Table(Forecast)'!H50</f>
        <v>0</v>
      </c>
      <c r="I50" s="198">
        <f>'Detail Table(Forecast)'!I50</f>
        <v>0</v>
      </c>
      <c r="J50" s="176"/>
      <c r="K50" s="196">
        <f>'Detail Table(Forecast)'!J50</f>
        <v>0</v>
      </c>
      <c r="L50" s="197">
        <f>'Detail Table(Forecast)'!K50</f>
        <v>0</v>
      </c>
      <c r="M50" s="198">
        <f>'Detail Table(Forecast)'!L50</f>
        <v>0</v>
      </c>
      <c r="N50" s="176"/>
      <c r="O50" s="176"/>
      <c r="P50" s="196">
        <f>'Detail Table(Forecast)'!N50</f>
        <v>0</v>
      </c>
      <c r="Q50" s="197">
        <f>'Detail Table(Forecast)'!O50</f>
        <v>0</v>
      </c>
      <c r="R50" s="198">
        <f>'Detail Table(Forecast)'!P50</f>
        <v>0</v>
      </c>
      <c r="S50" s="176"/>
      <c r="T50" s="196">
        <f>'Detail Table(Forecast)'!Q50</f>
        <v>0</v>
      </c>
      <c r="U50" s="197">
        <f>'Detail Table(Forecast)'!R50</f>
        <v>0</v>
      </c>
      <c r="V50" s="198">
        <f>'Detail Table(Forecast)'!S50</f>
        <v>0</v>
      </c>
      <c r="W50" s="176"/>
      <c r="X50" s="176"/>
      <c r="Y50" s="176"/>
    </row>
    <row r="51" spans="1:25" ht="16.5" hidden="1" customHeight="1">
      <c r="A51" s="35">
        <v>34</v>
      </c>
      <c r="B51" s="195"/>
      <c r="C51" s="787"/>
      <c r="D51" s="200" t="s">
        <v>133</v>
      </c>
      <c r="E51" s="200"/>
      <c r="F51" s="130"/>
      <c r="G51" s="201">
        <f>'Detail Table(Forecast)'!G51</f>
        <v>0</v>
      </c>
      <c r="H51" s="202">
        <f>'Detail Table(Forecast)'!H51</f>
        <v>0</v>
      </c>
      <c r="I51" s="203">
        <f>'Detail Table(Forecast)'!I51</f>
        <v>0</v>
      </c>
      <c r="J51" s="204"/>
      <c r="K51" s="201">
        <f>'Detail Table(Forecast)'!J51</f>
        <v>0</v>
      </c>
      <c r="L51" s="202">
        <f>'Detail Table(Forecast)'!K51</f>
        <v>0</v>
      </c>
      <c r="M51" s="203">
        <f>'Detail Table(Forecast)'!L51</f>
        <v>0</v>
      </c>
      <c r="N51" s="204"/>
      <c r="O51" s="204"/>
      <c r="P51" s="201">
        <f>'Detail Table(Forecast)'!N51</f>
        <v>0</v>
      </c>
      <c r="Q51" s="202">
        <f>'Detail Table(Forecast)'!O51</f>
        <v>0</v>
      </c>
      <c r="R51" s="203">
        <f>'Detail Table(Forecast)'!P51</f>
        <v>0</v>
      </c>
      <c r="S51" s="204"/>
      <c r="T51" s="201">
        <f>'Detail Table(Forecast)'!Q51</f>
        <v>0</v>
      </c>
      <c r="U51" s="202">
        <f>'Detail Table(Forecast)'!R51</f>
        <v>0</v>
      </c>
      <c r="V51" s="203">
        <f>'Detail Table(Forecast)'!S51</f>
        <v>0</v>
      </c>
      <c r="W51" s="204"/>
      <c r="X51" s="204"/>
      <c r="Y51" s="204"/>
    </row>
    <row r="52" spans="1:25" ht="18.75" hidden="1" customHeight="1" thickBot="1">
      <c r="B52" s="195"/>
      <c r="C52" s="757"/>
      <c r="D52" s="776" t="s">
        <v>134</v>
      </c>
      <c r="E52" s="776"/>
      <c r="F52" s="777"/>
      <c r="G52" s="206">
        <f>'Detail Table(Forecast)'!G52</f>
        <v>0</v>
      </c>
      <c r="H52" s="207">
        <f>'Detail Table(Forecast)'!H52</f>
        <v>0</v>
      </c>
      <c r="I52" s="208">
        <f>'Detail Table(Forecast)'!I52</f>
        <v>0</v>
      </c>
      <c r="J52" s="209"/>
      <c r="K52" s="206">
        <f>'Detail Table(Forecast)'!J52</f>
        <v>0</v>
      </c>
      <c r="L52" s="207">
        <f>'Detail Table(Forecast)'!K52</f>
        <v>0</v>
      </c>
      <c r="M52" s="208">
        <f>'Detail Table(Forecast)'!L52</f>
        <v>0</v>
      </c>
      <c r="N52" s="209"/>
      <c r="O52" s="209"/>
      <c r="P52" s="206">
        <f>'Detail Table(Forecast)'!N52</f>
        <v>0</v>
      </c>
      <c r="Q52" s="207">
        <f>'Detail Table(Forecast)'!O52</f>
        <v>0</v>
      </c>
      <c r="R52" s="208">
        <f>'Detail Table(Forecast)'!P52</f>
        <v>0</v>
      </c>
      <c r="S52" s="209"/>
      <c r="T52" s="206">
        <f>'Detail Table(Forecast)'!Q52</f>
        <v>0</v>
      </c>
      <c r="U52" s="207">
        <f>'Detail Table(Forecast)'!R52</f>
        <v>0</v>
      </c>
      <c r="V52" s="208">
        <f>'Detail Table(Forecast)'!S52</f>
        <v>0</v>
      </c>
      <c r="W52" s="209"/>
      <c r="X52" s="209">
        <f>SUM(X41:X41)</f>
        <v>1919.4934462328013</v>
      </c>
      <c r="Y52" s="209">
        <f>SUM(Y41:Y41)</f>
        <v>3783.5491725395518</v>
      </c>
    </row>
    <row r="53" spans="1:25" ht="18.75" hidden="1" customHeight="1">
      <c r="A53" s="35">
        <v>35</v>
      </c>
      <c r="B53" s="195"/>
      <c r="C53" s="786" t="s">
        <v>135</v>
      </c>
      <c r="D53" s="364" t="s">
        <v>136</v>
      </c>
      <c r="E53" s="392"/>
      <c r="F53" s="57"/>
      <c r="G53" s="211">
        <f>'Detail Table(Forecast)'!G53</f>
        <v>0</v>
      </c>
      <c r="H53" s="212">
        <f>'Detail Table(Forecast)'!H53</f>
        <v>0</v>
      </c>
      <c r="I53" s="213">
        <f>'Detail Table(Forecast)'!I53</f>
        <v>0</v>
      </c>
      <c r="J53" s="214"/>
      <c r="K53" s="215">
        <f>'Detail Table(Forecast)'!J53</f>
        <v>0</v>
      </c>
      <c r="L53" s="212">
        <f>'Detail Table(Forecast)'!K53</f>
        <v>0</v>
      </c>
      <c r="M53" s="213">
        <f>'Detail Table(Forecast)'!L53</f>
        <v>0</v>
      </c>
      <c r="N53" s="214"/>
      <c r="O53" s="214"/>
      <c r="P53" s="215">
        <f>'Detail Table(Forecast)'!N53</f>
        <v>0</v>
      </c>
      <c r="Q53" s="212">
        <f>'Detail Table(Forecast)'!O53</f>
        <v>0</v>
      </c>
      <c r="R53" s="213">
        <f>'Detail Table(Forecast)'!P53</f>
        <v>0</v>
      </c>
      <c r="S53" s="214"/>
      <c r="T53" s="215">
        <f>'Detail Table(Forecast)'!Q53</f>
        <v>0</v>
      </c>
      <c r="U53" s="212">
        <f>'Detail Table(Forecast)'!R53</f>
        <v>0</v>
      </c>
      <c r="V53" s="213">
        <f>'Detail Table(Forecast)'!S53</f>
        <v>0</v>
      </c>
      <c r="W53" s="214"/>
      <c r="X53" s="214">
        <f>SUM(P53:V53)</f>
        <v>0</v>
      </c>
      <c r="Y53" s="214">
        <f>O53+X53</f>
        <v>0</v>
      </c>
    </row>
    <row r="54" spans="1:25" ht="18.75" hidden="1" customHeight="1">
      <c r="A54" s="35">
        <v>36</v>
      </c>
      <c r="B54" s="195"/>
      <c r="C54" s="787"/>
      <c r="D54" s="365" t="s">
        <v>137</v>
      </c>
      <c r="E54" s="393"/>
      <c r="F54" s="60"/>
      <c r="G54" s="217">
        <f>'Detail Table(Forecast)'!G54</f>
        <v>0</v>
      </c>
      <c r="H54" s="218">
        <f>'Detail Table(Forecast)'!H54</f>
        <v>0</v>
      </c>
      <c r="I54" s="219">
        <f>'Detail Table(Forecast)'!I54</f>
        <v>0</v>
      </c>
      <c r="J54" s="220"/>
      <c r="K54" s="221">
        <f>'Detail Table(Forecast)'!J54</f>
        <v>0</v>
      </c>
      <c r="L54" s="218">
        <f>'Detail Table(Forecast)'!K54</f>
        <v>0</v>
      </c>
      <c r="M54" s="219">
        <f>'Detail Table(Forecast)'!L54</f>
        <v>0</v>
      </c>
      <c r="N54" s="220"/>
      <c r="O54" s="220"/>
      <c r="P54" s="221">
        <f>'Detail Table(Forecast)'!N54</f>
        <v>0</v>
      </c>
      <c r="Q54" s="218">
        <f>'Detail Table(Forecast)'!O54</f>
        <v>0</v>
      </c>
      <c r="R54" s="219">
        <f>'Detail Table(Forecast)'!P54</f>
        <v>0</v>
      </c>
      <c r="S54" s="220"/>
      <c r="T54" s="221">
        <f>'Detail Table(Forecast)'!Q54</f>
        <v>0</v>
      </c>
      <c r="U54" s="218">
        <f>'Detail Table(Forecast)'!R54</f>
        <v>0</v>
      </c>
      <c r="V54" s="219">
        <f>'Detail Table(Forecast)'!S54</f>
        <v>0</v>
      </c>
      <c r="W54" s="220"/>
      <c r="X54" s="220">
        <f>SUM(P54:V54)</f>
        <v>0</v>
      </c>
      <c r="Y54" s="220">
        <f>O54+X54</f>
        <v>0</v>
      </c>
    </row>
    <row r="55" spans="1:25" ht="18.75" hidden="1" customHeight="1" thickBot="1">
      <c r="B55" s="195"/>
      <c r="C55" s="757"/>
      <c r="D55" s="346"/>
      <c r="E55" s="346"/>
      <c r="F55" s="394" t="s">
        <v>138</v>
      </c>
      <c r="G55" s="223">
        <f>'Detail Table(Forecast)'!G55</f>
        <v>0</v>
      </c>
      <c r="H55" s="224">
        <f>'Detail Table(Forecast)'!H55</f>
        <v>0</v>
      </c>
      <c r="I55" s="225">
        <f>'Detail Table(Forecast)'!I55</f>
        <v>0</v>
      </c>
      <c r="J55" s="226"/>
      <c r="K55" s="223">
        <f>'Detail Table(Forecast)'!J55</f>
        <v>0</v>
      </c>
      <c r="L55" s="224">
        <f>'Detail Table(Forecast)'!K55</f>
        <v>0</v>
      </c>
      <c r="M55" s="225">
        <f>'Detail Table(Forecast)'!L55</f>
        <v>0</v>
      </c>
      <c r="N55" s="226"/>
      <c r="O55" s="226"/>
      <c r="P55" s="223">
        <f>'Detail Table(Forecast)'!N55</f>
        <v>0</v>
      </c>
      <c r="Q55" s="224">
        <f>'Detail Table(Forecast)'!O55</f>
        <v>0</v>
      </c>
      <c r="R55" s="225">
        <f>'Detail Table(Forecast)'!P55</f>
        <v>0</v>
      </c>
      <c r="S55" s="226"/>
      <c r="T55" s="223">
        <f>'Detail Table(Forecast)'!Q55</f>
        <v>0</v>
      </c>
      <c r="U55" s="224">
        <f>'Detail Table(Forecast)'!R55</f>
        <v>0</v>
      </c>
      <c r="V55" s="225">
        <f>'Detail Table(Forecast)'!S55</f>
        <v>0</v>
      </c>
      <c r="W55" s="226"/>
      <c r="X55" s="226">
        <f>SUM(X53:X54)</f>
        <v>0</v>
      </c>
      <c r="Y55" s="226">
        <f>SUM(Y53:Y54)</f>
        <v>0</v>
      </c>
    </row>
    <row r="56" spans="1:25" ht="18.75" hidden="1" customHeight="1" thickBot="1">
      <c r="B56" s="228"/>
      <c r="C56" s="766" t="s">
        <v>139</v>
      </c>
      <c r="D56" s="766"/>
      <c r="E56" s="766"/>
      <c r="F56" s="767"/>
      <c r="G56" s="229">
        <f>'Detail Table(Forecast)'!G56</f>
        <v>0</v>
      </c>
      <c r="H56" s="230">
        <f>'Detail Table(Forecast)'!H56</f>
        <v>0</v>
      </c>
      <c r="I56" s="231">
        <f>'Detail Table(Forecast)'!I56</f>
        <v>0</v>
      </c>
      <c r="J56" s="522"/>
      <c r="K56" s="233">
        <f>'Detail Table(Forecast)'!J56</f>
        <v>0</v>
      </c>
      <c r="L56" s="230">
        <f>'Detail Table(Forecast)'!K56</f>
        <v>0</v>
      </c>
      <c r="M56" s="231">
        <f>'Detail Table(Forecast)'!L56</f>
        <v>0</v>
      </c>
      <c r="N56" s="522"/>
      <c r="O56" s="232"/>
      <c r="P56" s="233">
        <f>'Detail Table(Forecast)'!N56</f>
        <v>0</v>
      </c>
      <c r="Q56" s="230">
        <f>'Detail Table(Forecast)'!O56</f>
        <v>0</v>
      </c>
      <c r="R56" s="231">
        <f>'Detail Table(Forecast)'!P56</f>
        <v>0</v>
      </c>
      <c r="S56" s="522"/>
      <c r="T56" s="233">
        <f>'Detail Table(Forecast)'!Q56</f>
        <v>0</v>
      </c>
      <c r="U56" s="230">
        <f>'Detail Table(Forecast)'!R56</f>
        <v>0</v>
      </c>
      <c r="V56" s="231">
        <f>'Detail Table(Forecast)'!S56</f>
        <v>0</v>
      </c>
      <c r="W56" s="522"/>
      <c r="X56" s="232">
        <f>X34+X52+X55</f>
        <v>7380.116830862753</v>
      </c>
      <c r="Y56" s="232">
        <f>Y34+Y52+Y55</f>
        <v>15080.52639512052</v>
      </c>
    </row>
    <row r="57" spans="1:25" ht="21" customHeight="1" thickBot="1">
      <c r="B57" s="235"/>
      <c r="C57" s="778" t="s">
        <v>115</v>
      </c>
      <c r="D57" s="779"/>
      <c r="E57" s="779"/>
      <c r="F57" s="780"/>
      <c r="G57" s="482">
        <f>'Detail Table(Forecast)'!G57</f>
        <v>2124</v>
      </c>
      <c r="H57" s="483">
        <f>'Detail Table(Forecast)'!H57</f>
        <v>2346</v>
      </c>
      <c r="I57" s="496">
        <f>'Detail Table(Forecast)'!I57</f>
        <v>1876</v>
      </c>
      <c r="J57" s="523">
        <f>SUM(G57:I57)</f>
        <v>6346</v>
      </c>
      <c r="K57" s="483">
        <f>'Detail Table(Forecast)'!J57</f>
        <v>2177</v>
      </c>
      <c r="L57" s="483">
        <f>'Detail Table(Forecast)'!K57</f>
        <v>2177</v>
      </c>
      <c r="M57" s="496">
        <f>'Detail Table(Forecast)'!L57</f>
        <v>2578</v>
      </c>
      <c r="N57" s="523">
        <f>SUM(K57:M57)</f>
        <v>6932</v>
      </c>
      <c r="O57" s="236">
        <f>SUM(G57:M57)</f>
        <v>19624</v>
      </c>
      <c r="P57" s="483">
        <f>'Detail Table(Forecast)'!N57</f>
        <v>2862</v>
      </c>
      <c r="Q57" s="483">
        <f>'Detail Table(Forecast)'!O57</f>
        <v>2786</v>
      </c>
      <c r="R57" s="496">
        <f>'Detail Table(Forecast)'!P57</f>
        <v>2202</v>
      </c>
      <c r="S57" s="523">
        <f>SUM(P57:R57)</f>
        <v>7850</v>
      </c>
      <c r="T57" s="483">
        <f>'Detail Table(Forecast)'!Q57</f>
        <v>1819</v>
      </c>
      <c r="U57" s="483">
        <f>'Detail Table(Forecast)'!R57</f>
        <v>1852</v>
      </c>
      <c r="V57" s="496">
        <f>'Detail Table(Forecast)'!S57</f>
        <v>2263</v>
      </c>
      <c r="W57" s="523">
        <f>SUM(T57:V57)</f>
        <v>5934</v>
      </c>
      <c r="X57" s="236">
        <f>SUM(P57:V57)</f>
        <v>21634</v>
      </c>
      <c r="Y57" s="236">
        <f>O57+X57</f>
        <v>41258</v>
      </c>
    </row>
    <row r="58" spans="1:25" ht="9" customHeight="1"/>
    <row r="59" spans="1:25" ht="19.5" customHeight="1">
      <c r="E59" s="781" t="s">
        <v>116</v>
      </c>
      <c r="F59" s="782"/>
      <c r="G59" s="783"/>
      <c r="Y59" s="301"/>
    </row>
    <row r="60" spans="1:25" ht="7.5" customHeight="1"/>
    <row r="61" spans="1:25" ht="19.5" customHeight="1">
      <c r="J61" s="525">
        <v>0.87338328599008441</v>
      </c>
      <c r="L61" s="302"/>
      <c r="N61" s="525">
        <v>0.7485121223837814</v>
      </c>
      <c r="O61" s="302"/>
      <c r="S61" s="525">
        <v>1.2842798275832903</v>
      </c>
      <c r="W61" s="525">
        <v>0.65411301988481385</v>
      </c>
      <c r="Y61" s="525">
        <v>0.84971063514594103</v>
      </c>
    </row>
    <row r="62" spans="1:25" ht="19.5" customHeight="1">
      <c r="F62" s="474"/>
      <c r="G62" s="475">
        <v>21578702.015999995</v>
      </c>
      <c r="H62" s="475">
        <v>24410110.176000003</v>
      </c>
      <c r="I62" s="475">
        <v>25542673.440000001</v>
      </c>
      <c r="J62" s="475"/>
      <c r="K62" s="475">
        <v>25542673.440000001</v>
      </c>
      <c r="L62" s="475">
        <v>24693250.991999999</v>
      </c>
      <c r="M62" s="475">
        <v>24693250.991999999</v>
      </c>
      <c r="N62" s="475"/>
      <c r="O62" s="476"/>
      <c r="P62" s="475">
        <v>26675236.704000004</v>
      </c>
      <c r="Q62" s="475">
        <v>25259532.623999998</v>
      </c>
      <c r="R62" s="475">
        <v>24126969.359999999</v>
      </c>
      <c r="S62" s="475"/>
      <c r="T62" s="475">
        <v>19879857.120000001</v>
      </c>
      <c r="U62" s="475">
        <v>19879857.120000001</v>
      </c>
      <c r="V62" s="475">
        <v>21578702.015999995</v>
      </c>
      <c r="W62" s="475"/>
    </row>
    <row r="63" spans="1:25">
      <c r="F63" s="474"/>
      <c r="G63" s="475">
        <v>6266907.7879999988</v>
      </c>
      <c r="H63" s="475">
        <v>7091500.9179999996</v>
      </c>
      <c r="I63" s="475">
        <v>7421338.1699999999</v>
      </c>
      <c r="J63" s="475"/>
      <c r="K63" s="475">
        <v>6650419.1699999999</v>
      </c>
      <c r="L63" s="475">
        <v>7944879.2309999987</v>
      </c>
      <c r="M63" s="475">
        <v>7173960.2309999987</v>
      </c>
      <c r="N63" s="475"/>
      <c r="O63" s="476"/>
      <c r="P63" s="475">
        <v>7751175.4220000003</v>
      </c>
      <c r="Q63" s="475">
        <v>7338878.8569999998</v>
      </c>
      <c r="R63" s="475">
        <v>7009041.6050000004</v>
      </c>
      <c r="S63" s="475"/>
      <c r="T63" s="475">
        <v>5772151.9100000001</v>
      </c>
      <c r="U63" s="475">
        <v>5772151.9100000001</v>
      </c>
      <c r="V63" s="475">
        <v>6266907.7879999988</v>
      </c>
      <c r="W63" s="475"/>
    </row>
    <row r="64" spans="1:25">
      <c r="F64" s="474" t="s">
        <v>169</v>
      </c>
      <c r="G64" s="477">
        <f>SUM(G62:G63)</f>
        <v>27845609.803999994</v>
      </c>
      <c r="H64" s="477">
        <f t="shared" ref="H64:V64" si="8">SUM(H62:H63)</f>
        <v>31501611.094000004</v>
      </c>
      <c r="I64" s="477">
        <f t="shared" si="8"/>
        <v>32964011.609999999</v>
      </c>
      <c r="J64" s="477"/>
      <c r="K64" s="477">
        <f t="shared" si="8"/>
        <v>32193092.609999999</v>
      </c>
      <c r="L64" s="477">
        <f t="shared" si="8"/>
        <v>32638130.222999997</v>
      </c>
      <c r="M64" s="477">
        <f t="shared" si="8"/>
        <v>31867211.222999997</v>
      </c>
      <c r="N64" s="477"/>
      <c r="O64" s="477"/>
      <c r="P64" s="477">
        <f t="shared" si="8"/>
        <v>34426412.126000002</v>
      </c>
      <c r="Q64" s="477">
        <f t="shared" si="8"/>
        <v>32598411.480999999</v>
      </c>
      <c r="R64" s="477">
        <f t="shared" si="8"/>
        <v>31136010.965</v>
      </c>
      <c r="S64" s="477"/>
      <c r="T64" s="477">
        <f t="shared" si="8"/>
        <v>25652009.030000001</v>
      </c>
      <c r="U64" s="477">
        <f t="shared" si="8"/>
        <v>25652009.030000001</v>
      </c>
      <c r="V64" s="477">
        <f t="shared" si="8"/>
        <v>27845609.803999994</v>
      </c>
      <c r="W64" s="477"/>
    </row>
    <row r="65" spans="6:23">
      <c r="F65" s="474" t="s">
        <v>170</v>
      </c>
      <c r="G65" s="478">
        <v>0.98</v>
      </c>
      <c r="H65" s="478"/>
      <c r="I65" s="478"/>
      <c r="J65" s="478"/>
      <c r="K65" s="478"/>
      <c r="L65" s="478"/>
      <c r="M65" s="478"/>
      <c r="N65" s="478"/>
      <c r="O65" s="478"/>
      <c r="P65" s="478"/>
      <c r="Q65" s="478"/>
      <c r="R65" s="478"/>
      <c r="S65" s="478"/>
      <c r="T65" s="478"/>
      <c r="U65" s="478"/>
      <c r="V65" s="478"/>
      <c r="W65" s="478"/>
    </row>
    <row r="66" spans="6:23">
      <c r="F66" s="474" t="s">
        <v>165</v>
      </c>
      <c r="G66" s="479">
        <v>0.01</v>
      </c>
      <c r="H66" s="478"/>
      <c r="I66" s="478"/>
      <c r="J66" s="478"/>
      <c r="K66" s="478"/>
      <c r="L66" s="478"/>
      <c r="M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</row>
    <row r="67" spans="6:23">
      <c r="F67" s="474" t="s">
        <v>163</v>
      </c>
      <c r="G67" s="479">
        <v>3.9399999999999998E-2</v>
      </c>
      <c r="H67" s="478"/>
      <c r="I67" s="478"/>
      <c r="J67" s="478"/>
      <c r="K67" s="478"/>
      <c r="L67" s="478"/>
      <c r="M67" s="478"/>
      <c r="N67" s="478"/>
      <c r="O67" s="478"/>
      <c r="P67" s="478"/>
      <c r="Q67" s="478"/>
      <c r="R67" s="478"/>
      <c r="S67" s="478"/>
      <c r="T67" s="478"/>
      <c r="U67" s="478"/>
      <c r="V67" s="478"/>
      <c r="W67" s="478"/>
    </row>
    <row r="68" spans="6:23">
      <c r="F68" s="474" t="s">
        <v>166</v>
      </c>
      <c r="G68" s="480">
        <v>3.4</v>
      </c>
      <c r="H68" s="478"/>
      <c r="I68" s="478"/>
      <c r="J68" s="478"/>
      <c r="K68" s="478"/>
      <c r="L68" s="478"/>
      <c r="M68" s="478"/>
      <c r="N68" s="478"/>
      <c r="O68" s="478"/>
      <c r="P68" s="478"/>
      <c r="Q68" s="478"/>
      <c r="R68" s="478"/>
      <c r="S68" s="478"/>
      <c r="T68" s="478"/>
      <c r="U68" s="478"/>
      <c r="V68" s="478"/>
      <c r="W68" s="478"/>
    </row>
    <row r="69" spans="6:23">
      <c r="F69" s="474" t="s">
        <v>167</v>
      </c>
      <c r="G69" s="481">
        <v>0.1</v>
      </c>
      <c r="H69" s="478"/>
      <c r="I69" s="478"/>
      <c r="J69" s="478"/>
      <c r="K69" s="478"/>
      <c r="L69" s="478"/>
      <c r="M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</row>
    <row r="70" spans="6:23">
      <c r="F70" s="474"/>
      <c r="G70" s="478"/>
      <c r="H70" s="478"/>
      <c r="I70" s="478"/>
      <c r="J70" s="478"/>
      <c r="K70" s="478"/>
      <c r="L70" s="478"/>
      <c r="M70" s="478"/>
      <c r="N70" s="478"/>
      <c r="O70" s="478"/>
      <c r="P70" s="478"/>
      <c r="Q70" s="478"/>
      <c r="R70" s="478"/>
      <c r="S70" s="478"/>
      <c r="T70" s="478"/>
      <c r="U70" s="478"/>
      <c r="V70" s="478"/>
      <c r="W70" s="478"/>
    </row>
    <row r="71" spans="6:23">
      <c r="F71" s="474"/>
      <c r="G71" s="478"/>
      <c r="H71" s="478"/>
      <c r="I71" s="478"/>
      <c r="J71" s="478"/>
      <c r="K71" s="478"/>
      <c r="L71" s="478"/>
      <c r="M71" s="478"/>
      <c r="N71" s="478"/>
      <c r="O71" s="478"/>
      <c r="P71" s="478"/>
      <c r="Q71" s="478"/>
      <c r="R71" s="478"/>
      <c r="S71" s="478"/>
      <c r="T71" s="478"/>
      <c r="U71" s="478"/>
      <c r="V71" s="478"/>
      <c r="W71" s="47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2022 Quality Business Plan</vt:lpstr>
      <vt:lpstr>Assawa san</vt:lpstr>
      <vt:lpstr>'2022 Quality Business Plan'!Area_de_impressao</vt:lpstr>
      <vt:lpstr>'Assawa san'!Area_de_impressao</vt:lpstr>
      <vt:lpstr>'Detail Table(Forecast)'!Area_de_impressao</vt:lpstr>
      <vt:lpstr>'Detail Table(Input this !)'!Area_de_impressao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2021-07-21T18:37:51Z</cp:lastPrinted>
  <dcterms:created xsi:type="dcterms:W3CDTF">1997-01-14T06:45:54Z</dcterms:created>
  <dcterms:modified xsi:type="dcterms:W3CDTF">2022-02-04T20:25:32Z</dcterms:modified>
</cp:coreProperties>
</file>