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la\Desktop\X CICLO\TFA\Parte2\"/>
    </mc:Choice>
  </mc:AlternateContent>
  <xr:revisionPtr revIDLastSave="0" documentId="13_ncr:1_{06A9F7C9-4051-44E9-85EB-F7B975F32CF9}" xr6:coauthVersionLast="47" xr6:coauthVersionMax="47" xr10:uidLastSave="{00000000-0000-0000-0000-000000000000}"/>
  <bookViews>
    <workbookView xWindow="9640" yWindow="340" windowWidth="9780" windowHeight="10080" firstSheet="6" activeTab="10" xr2:uid="{1F42B50E-E01C-4770-AC9B-11FBE534EF8E}"/>
  </bookViews>
  <sheets>
    <sheet name="Laminado" sheetId="11" r:id="rId1"/>
    <sheet name="Extrusión" sheetId="8" r:id="rId2"/>
    <sheet name="Extrusión2" sheetId="12" r:id="rId3"/>
    <sheet name="Costo de soldadura" sheetId="9" r:id="rId4"/>
    <sheet name="Ej1 - Torno" sheetId="1" r:id="rId5"/>
    <sheet name="Ej2 - Torno" sheetId="10" r:id="rId6"/>
    <sheet name="Ej3 - Torno" sheetId="2" r:id="rId7"/>
    <sheet name="Ej4 - Torno" sheetId="3" r:id="rId8"/>
    <sheet name="Vida de la herr" sheetId="5" r:id="rId9"/>
    <sheet name="26.10" sheetId="4" r:id="rId10"/>
    <sheet name="Fresado tangencial - frontal" sheetId="6" r:id="rId11"/>
    <sheet name="Fresado" sheetId="7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" i="6" l="1"/>
  <c r="F22" i="6" s="1"/>
  <c r="E12" i="6" s="1"/>
  <c r="D19" i="6"/>
  <c r="B72" i="12"/>
  <c r="B71" i="12"/>
  <c r="B70" i="12"/>
  <c r="B69" i="12"/>
  <c r="B52" i="8"/>
  <c r="B31" i="12"/>
  <c r="D32" i="12"/>
  <c r="B22" i="12" l="1"/>
  <c r="E32" i="12" s="1"/>
  <c r="E33" i="12" s="1"/>
  <c r="B32" i="12" s="1"/>
  <c r="B21" i="12"/>
  <c r="D42" i="12" s="1"/>
  <c r="E12" i="11"/>
  <c r="E11" i="11"/>
  <c r="B28" i="11"/>
  <c r="B27" i="11"/>
  <c r="C43" i="12" l="1"/>
  <c r="B33" i="12"/>
  <c r="B35" i="12"/>
  <c r="B23" i="12"/>
  <c r="C54" i="12" s="1"/>
  <c r="E25" i="11"/>
  <c r="B21" i="11"/>
  <c r="B20" i="11"/>
  <c r="C59" i="12" l="1"/>
  <c r="C62" i="12"/>
  <c r="B22" i="11"/>
  <c r="B23" i="11" s="1"/>
  <c r="B24" i="11" s="1"/>
  <c r="B26" i="11" l="1"/>
  <c r="B19" i="11" l="1"/>
  <c r="B18" i="11"/>
  <c r="B47" i="7"/>
  <c r="B46" i="7"/>
  <c r="B39" i="7"/>
  <c r="B36" i="7"/>
  <c r="B35" i="7"/>
  <c r="D16" i="7"/>
  <c r="B16" i="7"/>
  <c r="B22" i="7"/>
  <c r="B31" i="7"/>
  <c r="E30" i="5"/>
  <c r="E28" i="5"/>
  <c r="E26" i="5"/>
  <c r="D26" i="5"/>
  <c r="E16" i="10"/>
  <c r="F22" i="10"/>
  <c r="F21" i="10"/>
  <c r="C16" i="10"/>
  <c r="C19" i="10"/>
  <c r="D22" i="10"/>
  <c r="D21" i="10"/>
  <c r="D19" i="1"/>
  <c r="D18" i="1"/>
  <c r="B22" i="9"/>
  <c r="B18" i="9"/>
  <c r="E13" i="9"/>
  <c r="B14" i="9" s="1"/>
  <c r="C13" i="9"/>
  <c r="D53" i="8"/>
  <c r="B26" i="8"/>
  <c r="E53" i="8" s="1"/>
  <c r="E54" i="8" s="1"/>
  <c r="B53" i="8" s="1"/>
  <c r="B25" i="8"/>
  <c r="B18" i="7"/>
  <c r="E9" i="6"/>
  <c r="E4" i="6"/>
  <c r="E2" i="6" s="1"/>
  <c r="B9" i="6"/>
  <c r="B3" i="6"/>
  <c r="E15" i="4"/>
  <c r="B15" i="3"/>
  <c r="B16" i="3" s="1"/>
  <c r="B17" i="3" s="1"/>
  <c r="C32" i="2"/>
  <c r="C33" i="2" s="1"/>
  <c r="C30" i="2"/>
  <c r="C26" i="2"/>
  <c r="C25" i="2"/>
  <c r="C24" i="2"/>
  <c r="C20" i="2"/>
  <c r="C17" i="2" s="1"/>
  <c r="C16" i="1"/>
  <c r="C15" i="1" s="1"/>
  <c r="B19" i="7" l="1"/>
  <c r="B27" i="8"/>
  <c r="C31" i="8" s="1"/>
  <c r="C43" i="8" s="1"/>
  <c r="B54" i="8"/>
  <c r="B56" i="8"/>
  <c r="B17" i="7"/>
  <c r="B58" i="8" l="1"/>
  <c r="C38" i="8"/>
</calcChain>
</file>

<file path=xl/sharedStrings.xml><?xml version="1.0" encoding="utf-8"?>
<sst xmlns="http://schemas.openxmlformats.org/spreadsheetml/2006/main" count="355" uniqueCount="209">
  <si>
    <t>kg</t>
  </si>
  <si>
    <t>kg/mm2</t>
  </si>
  <si>
    <r>
      <t>kg/mm</t>
    </r>
    <r>
      <rPr>
        <vertAlign val="superscript"/>
        <sz val="11"/>
        <color theme="1"/>
        <rFont val="Calibri"/>
        <family val="2"/>
        <scheme val="minor"/>
      </rPr>
      <t>2</t>
    </r>
  </si>
  <si>
    <t>a</t>
  </si>
  <si>
    <t>p</t>
  </si>
  <si>
    <t>k</t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</si>
  <si>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</si>
  <si>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t>mm/rev</t>
  </si>
  <si>
    <t>mm</t>
  </si>
  <si>
    <t>Mecanizado</t>
  </si>
  <si>
    <t>Fuerza de corte</t>
  </si>
  <si>
    <t>Fuerza específica de corte</t>
  </si>
  <si>
    <t>Avance</t>
  </si>
  <si>
    <t>Profundidad de pasada</t>
  </si>
  <si>
    <t xml:space="preserve">Pot corte </t>
  </si>
  <si>
    <t>=</t>
  </si>
  <si>
    <t>Fc*Vc</t>
  </si>
  <si>
    <t>Vc</t>
  </si>
  <si>
    <t>(pi*D*n)/100</t>
  </si>
  <si>
    <t>En este caso la velocidad la tengo en la tabla</t>
  </si>
  <si>
    <t>k*a*p</t>
  </si>
  <si>
    <t>kg*m/min</t>
  </si>
  <si>
    <t>Watts</t>
  </si>
  <si>
    <t>Kw</t>
  </si>
  <si>
    <t>Pot máquina</t>
  </si>
  <si>
    <t>Pot red</t>
  </si>
  <si>
    <t>Lo que pagas cuando usas el torno es energía</t>
  </si>
  <si>
    <t>Pot*tiempo</t>
  </si>
  <si>
    <t>Energía</t>
  </si>
  <si>
    <t>min</t>
  </si>
  <si>
    <t>v</t>
  </si>
  <si>
    <t>1/n1</t>
  </si>
  <si>
    <t>1/n2</t>
  </si>
  <si>
    <t>1/n3</t>
  </si>
  <si>
    <t>Aproximación</t>
  </si>
  <si>
    <t>A = O =</t>
  </si>
  <si>
    <t>D</t>
  </si>
  <si>
    <t>w</t>
  </si>
  <si>
    <t>Fresado tangencial</t>
  </si>
  <si>
    <t>Fresado frontal</t>
  </si>
  <si>
    <t>L</t>
  </si>
  <si>
    <t>A</t>
  </si>
  <si>
    <t>f</t>
  </si>
  <si>
    <t>Tiempo de mecanizado</t>
  </si>
  <si>
    <t>Tm</t>
  </si>
  <si>
    <t>N</t>
  </si>
  <si>
    <t>m/min</t>
  </si>
  <si>
    <t>dientes</t>
  </si>
  <si>
    <t>esfuerzo específico de corte</t>
  </si>
  <si>
    <t>rev/min</t>
  </si>
  <si>
    <t>1° Relación de extrusión</t>
  </si>
  <si>
    <t>sección inicial del tocho</t>
  </si>
  <si>
    <t>sección final del tocho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</si>
  <si>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=</t>
    </r>
  </si>
  <si>
    <r>
      <t>A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=</t>
    </r>
  </si>
  <si>
    <t xml:space="preserve">d= </t>
  </si>
  <si>
    <r>
      <t>mm</t>
    </r>
    <r>
      <rPr>
        <vertAlign val="subscript"/>
        <sz val="11"/>
        <color theme="1"/>
        <rFont val="Calibri"/>
        <family val="2"/>
        <scheme val="minor"/>
      </rPr>
      <t>2</t>
    </r>
  </si>
  <si>
    <r>
      <t>r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=</t>
    </r>
  </si>
  <si>
    <t>2° Esfuerzo real en la extrusión</t>
  </si>
  <si>
    <t>ε =</t>
  </si>
  <si>
    <t>a=</t>
  </si>
  <si>
    <t>b=</t>
  </si>
  <si>
    <t>Extrusión directa</t>
  </si>
  <si>
    <r>
      <t>ε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</si>
  <si>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t>3° Deformación de extrusión (ec. Johnson)</t>
  </si>
  <si>
    <t>4° Límite elástico</t>
  </si>
  <si>
    <r>
      <t>Y</t>
    </r>
    <r>
      <rPr>
        <i/>
        <vertAlign val="subscript"/>
        <sz val="11"/>
        <color theme="1"/>
        <rFont val="Calibri"/>
        <family val="2"/>
        <scheme val="minor"/>
      </rPr>
      <t xml:space="preserve">f </t>
    </r>
    <r>
      <rPr>
        <sz val="11"/>
        <color theme="1"/>
        <rFont val="Calibri"/>
        <family val="2"/>
        <scheme val="minor"/>
      </rPr>
      <t>=</t>
    </r>
  </si>
  <si>
    <t>Mpa</t>
  </si>
  <si>
    <t>resistividad</t>
  </si>
  <si>
    <t>exponente de endurecimiento por deformación</t>
  </si>
  <si>
    <t>k =</t>
  </si>
  <si>
    <t>n =</t>
  </si>
  <si>
    <t>5° Presión</t>
  </si>
  <si>
    <t>Cx =</t>
  </si>
  <si>
    <t>perímetro de la sección transversal extruida</t>
  </si>
  <si>
    <t>Cc =</t>
  </si>
  <si>
    <t>perímetro del círculo de igual área que la forma extruida</t>
  </si>
  <si>
    <t>d =</t>
  </si>
  <si>
    <t>p =</t>
  </si>
  <si>
    <t>L=</t>
  </si>
  <si>
    <r>
      <t>C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</si>
  <si>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r>
      <t>k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</si>
  <si>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t>1° Masa del metal depositado</t>
  </si>
  <si>
    <t>Forma rectangular</t>
  </si>
  <si>
    <t>Forma trapezoidal</t>
  </si>
  <si>
    <t>Volumen =</t>
  </si>
  <si>
    <t>(b*h)*l</t>
  </si>
  <si>
    <t>densidad*volumen</t>
  </si>
  <si>
    <r>
      <t>M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</si>
  <si>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(a+b)*h/2*l</t>
  </si>
  <si>
    <t>ρ =</t>
  </si>
  <si>
    <r>
      <t>g/cm</t>
    </r>
    <r>
      <rPr>
        <vertAlign val="superscript"/>
        <sz val="11"/>
        <color theme="1"/>
        <rFont val="Calibri"/>
        <family val="2"/>
        <scheme val="minor"/>
      </rPr>
      <t>3</t>
    </r>
  </si>
  <si>
    <t>b</t>
  </si>
  <si>
    <t>h</t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</si>
  <si>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</si>
  <si>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</si>
  <si>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t>g</t>
  </si>
  <si>
    <r>
      <t>M</t>
    </r>
    <r>
      <rPr>
        <vertAlign val="subscript"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=</t>
    </r>
  </si>
  <si>
    <t>#electrodos =</t>
  </si>
  <si>
    <t>Masa del electrodo =</t>
  </si>
  <si>
    <t>electrodos</t>
  </si>
  <si>
    <t>3° Tiempo de soldadura de arco abierto</t>
  </si>
  <si>
    <r>
      <t>M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 xml:space="preserve"> =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</si>
  <si>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ce</t>
    </r>
    <r>
      <rPr>
        <b/>
        <sz val="11"/>
        <color theme="1"/>
        <rFont val="Calibri"/>
        <family val="2"/>
        <scheme val="minor"/>
      </rPr>
      <t xml:space="preserve"> =</t>
    </r>
  </si>
  <si>
    <r>
      <t>1.8 * M</t>
    </r>
    <r>
      <rPr>
        <b/>
        <vertAlign val="subscript"/>
        <sz val="11"/>
        <color theme="1"/>
        <rFont val="Calibri"/>
        <family val="2"/>
        <scheme val="minor"/>
      </rPr>
      <t>d</t>
    </r>
  </si>
  <si>
    <r>
      <t>M</t>
    </r>
    <r>
      <rPr>
        <b/>
        <vertAlign val="subscript"/>
        <sz val="11"/>
        <color theme="1"/>
        <rFont val="Calibri"/>
        <family val="2"/>
        <scheme val="minor"/>
      </rPr>
      <t>ce</t>
    </r>
    <r>
      <rPr>
        <b/>
        <sz val="11"/>
        <color theme="1"/>
        <rFont val="Calibri"/>
        <family val="2"/>
        <scheme val="minor"/>
      </rPr>
      <t>/Masa de c/electrodo</t>
    </r>
  </si>
  <si>
    <t>L/v</t>
  </si>
  <si>
    <t>Mce/Zm</t>
  </si>
  <si>
    <t>v = Velocidad en la soldadura</t>
  </si>
  <si>
    <t>Zm = deposición del proceso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</si>
  <si>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arc</t>
    </r>
    <r>
      <rPr>
        <b/>
        <sz val="11"/>
        <color theme="1"/>
        <rFont val="Calibri"/>
        <family val="2"/>
        <scheme val="minor"/>
      </rPr>
      <t xml:space="preserve"> =</t>
    </r>
  </si>
  <si>
    <t>4° Tiempo total de soldadura</t>
  </si>
  <si>
    <t>Tt =</t>
  </si>
  <si>
    <t>Tarc/ϕ</t>
  </si>
  <si>
    <t>2° Masa consumida de electrodos</t>
  </si>
  <si>
    <t>5° Costos de electrodos</t>
  </si>
  <si>
    <t>Ce =</t>
  </si>
  <si>
    <r>
      <t>(M</t>
    </r>
    <r>
      <rPr>
        <vertAlign val="subscript"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>/Φ)*C</t>
    </r>
    <r>
      <rPr>
        <vertAlign val="subscript"/>
        <sz val="11"/>
        <color theme="1"/>
        <rFont val="Calibri"/>
        <family val="2"/>
        <scheme val="minor"/>
      </rPr>
      <t>eu</t>
    </r>
  </si>
  <si>
    <t>6° Costo de la mano de obra</t>
  </si>
  <si>
    <t>Eficiencia práctica de deposición</t>
  </si>
  <si>
    <t>Cmo =</t>
  </si>
  <si>
    <r>
      <t>(T</t>
    </r>
    <r>
      <rPr>
        <b/>
        <vertAlign val="subscript"/>
        <sz val="11"/>
        <color theme="1"/>
        <rFont val="Calibri"/>
        <family val="2"/>
        <scheme val="minor"/>
      </rPr>
      <t>arc</t>
    </r>
    <r>
      <rPr>
        <b/>
        <sz val="11"/>
        <color theme="1"/>
        <rFont val="Calibri"/>
        <family val="2"/>
        <scheme val="minor"/>
      </rPr>
      <t>/ϕ)*C</t>
    </r>
    <r>
      <rPr>
        <b/>
        <vertAlign val="subscript"/>
        <sz val="11"/>
        <color theme="1"/>
        <rFont val="Calibri"/>
        <family val="2"/>
        <scheme val="minor"/>
      </rPr>
      <t>h</t>
    </r>
  </si>
  <si>
    <t>7° Costo de la energía eléctrica</t>
  </si>
  <si>
    <t>Pot =</t>
  </si>
  <si>
    <t>V*I</t>
  </si>
  <si>
    <t>Voltios* Amperios</t>
  </si>
  <si>
    <t>[Watts]</t>
  </si>
  <si>
    <t>Cee =</t>
  </si>
  <si>
    <r>
      <t>Pot *t</t>
    </r>
    <r>
      <rPr>
        <vertAlign val="subscript"/>
        <sz val="11"/>
        <color theme="1"/>
        <rFont val="Calibri"/>
        <family val="2"/>
        <scheme val="minor"/>
      </rPr>
      <t>arc</t>
    </r>
    <r>
      <rPr>
        <sz val="11"/>
        <color theme="1"/>
        <rFont val="Calibri"/>
        <family val="2"/>
        <scheme val="minor"/>
      </rPr>
      <t>*P</t>
    </r>
    <r>
      <rPr>
        <vertAlign val="subscript"/>
        <sz val="11"/>
        <color theme="1"/>
        <rFont val="Calibri"/>
        <family val="2"/>
        <scheme val="minor"/>
      </rPr>
      <t>ee</t>
    </r>
    <r>
      <rPr>
        <sz val="11"/>
        <color theme="1"/>
        <rFont val="Calibri"/>
        <family val="2"/>
        <scheme val="minor"/>
      </rPr>
      <t>/Φ</t>
    </r>
  </si>
  <si>
    <t>[S/.]</t>
  </si>
  <si>
    <t>Fuerza de avance</t>
  </si>
  <si>
    <t>Fa =</t>
  </si>
  <si>
    <t>Fuerza de penetración</t>
  </si>
  <si>
    <t>Fp =</t>
  </si>
  <si>
    <t>Fc/3</t>
  </si>
  <si>
    <t>Fc/4</t>
  </si>
  <si>
    <t>Kg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</si>
  <si>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 xml:space="preserve">C </t>
    </r>
  </si>
  <si>
    <t>N =</t>
  </si>
  <si>
    <t>f =</t>
  </si>
  <si>
    <t>t =</t>
  </si>
  <si>
    <t>mm/min</t>
  </si>
  <si>
    <t>Ecuación de Taylor generalizada</t>
  </si>
  <si>
    <t>Ensayo de velocidades de corte</t>
  </si>
  <si>
    <t>0.6 es a T40(21 min) como 0.575 es 20 min</t>
  </si>
  <si>
    <t>40*T40n = C</t>
  </si>
  <si>
    <t>110*T110n = C</t>
  </si>
  <si>
    <t>40*21n</t>
  </si>
  <si>
    <t>110*11n</t>
  </si>
  <si>
    <t>Igualamos términos</t>
  </si>
  <si>
    <t xml:space="preserve"> 20  T40</t>
  </si>
  <si>
    <t>n  =</t>
  </si>
  <si>
    <t>C=</t>
  </si>
  <si>
    <t>T65 =</t>
  </si>
  <si>
    <t>F =</t>
  </si>
  <si>
    <t>K =</t>
  </si>
  <si>
    <t>a =</t>
  </si>
  <si>
    <t>b =</t>
  </si>
  <si>
    <t>w =</t>
  </si>
  <si>
    <t>D =</t>
  </si>
  <si>
    <t>Z =</t>
  </si>
  <si>
    <t>fz =</t>
  </si>
  <si>
    <t>Vc =</t>
  </si>
  <si>
    <r>
      <t>Pot</t>
    </r>
    <r>
      <rPr>
        <vertAlign val="subscript"/>
        <sz val="11"/>
        <color theme="1"/>
        <rFont val="Calibri"/>
        <family val="2"/>
        <scheme val="minor"/>
      </rPr>
      <t>corte</t>
    </r>
    <r>
      <rPr>
        <sz val="11"/>
        <color theme="1"/>
        <rFont val="Calibri"/>
        <family val="2"/>
        <scheme val="minor"/>
      </rPr>
      <t xml:space="preserve"> =</t>
    </r>
  </si>
  <si>
    <t>N*m/min</t>
  </si>
  <si>
    <t>J/s</t>
  </si>
  <si>
    <r>
      <t>Pot</t>
    </r>
    <r>
      <rPr>
        <vertAlign val="subscript"/>
        <sz val="11"/>
        <color theme="1"/>
        <rFont val="Calibri"/>
        <family val="2"/>
        <scheme val="minor"/>
      </rPr>
      <t>motor</t>
    </r>
    <r>
      <rPr>
        <sz val="11"/>
        <color theme="1"/>
        <rFont val="Calibri"/>
        <family val="2"/>
        <scheme val="minor"/>
      </rPr>
      <t>=</t>
    </r>
  </si>
  <si>
    <t>Tiempo de corte en el fresado</t>
  </si>
  <si>
    <t>A = O</t>
  </si>
  <si>
    <t>2ab</t>
  </si>
  <si>
    <t>ZND</t>
  </si>
  <si>
    <r>
      <t>T</t>
    </r>
    <r>
      <rPr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</t>
    </r>
  </si>
  <si>
    <t>Ancho</t>
  </si>
  <si>
    <t>Plancha de hacer</t>
  </si>
  <si>
    <t>m</t>
  </si>
  <si>
    <t>n</t>
  </si>
  <si>
    <t>π</t>
  </si>
  <si>
    <t>rad/s</t>
  </si>
  <si>
    <t>Espesor 0 (t0)</t>
  </si>
  <si>
    <t>tf</t>
  </si>
  <si>
    <t>Yf =</t>
  </si>
  <si>
    <t>L = Lp =</t>
  </si>
  <si>
    <t>1m</t>
  </si>
  <si>
    <t>1000mm</t>
  </si>
  <si>
    <t>MPamm2</t>
  </si>
  <si>
    <t>1mm</t>
  </si>
  <si>
    <t>10mm</t>
  </si>
  <si>
    <t>1cm</t>
  </si>
  <si>
    <t>100cm</t>
  </si>
  <si>
    <t>MPam2</t>
  </si>
  <si>
    <t>MN</t>
  </si>
  <si>
    <t>Torque =</t>
  </si>
  <si>
    <t>MNm</t>
  </si>
  <si>
    <t>HP</t>
  </si>
  <si>
    <t>a) Relación de extrusión</t>
  </si>
  <si>
    <t>b) Factor de forma</t>
  </si>
  <si>
    <r>
      <t>K</t>
    </r>
    <r>
      <rPr>
        <vertAlign val="sub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=</t>
    </r>
  </si>
  <si>
    <t>c) Longitud del perfil extruido</t>
  </si>
  <si>
    <t>Disco</t>
  </si>
  <si>
    <t>Diámetro =</t>
  </si>
  <si>
    <t>Altura =</t>
  </si>
  <si>
    <t>Volumen pasado por el dado =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</si>
  <si>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</si>
  <si>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t>Longitud final =</t>
  </si>
  <si>
    <t>d) Fuerza de extrucción</t>
  </si>
  <si>
    <t xml:space="preserve">n = </t>
  </si>
  <si>
    <t>Esfuerzo real en la extrusión</t>
  </si>
  <si>
    <t>Deformación de extrusión (ec. Johnson)</t>
  </si>
  <si>
    <t>Límite elástico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</si>
</sst>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4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3" fillId="0" borderId="0" xfId="0" applyFont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2" fontId="0" fillId="0" borderId="0" xfId="0" applyNumberFormat="1" applyFill="1"/>
    <xf numFmtId="0" fontId="3" fillId="3" borderId="0" xfId="0" applyFont="1" applyFill="1"/>
    <xf numFmtId="0" fontId="0" fillId="3" borderId="0" xfId="0" applyFill="1"/>
    <xf numFmtId="0" fontId="0" fillId="4" borderId="2" xfId="0" applyFill="1" applyBorder="1"/>
    <xf numFmtId="0" fontId="3" fillId="4" borderId="1" xfId="0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6" borderId="0" xfId="0" applyFill="1"/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/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3" xfId="0" applyFont="1" applyFill="1" applyBorder="1"/>
    <xf numFmtId="2" fontId="7" fillId="4" borderId="2" xfId="0" applyNumberFormat="1" applyFont="1" applyFill="1" applyBorder="1"/>
    <xf numFmtId="0" fontId="0" fillId="0" borderId="0" xfId="0" applyAlignment="1">
      <alignment vertical="top"/>
    </xf>
    <xf numFmtId="0" fontId="0" fillId="5" borderId="0" xfId="0" applyFill="1" applyAlignment="1">
      <alignment vertical="top"/>
    </xf>
    <xf numFmtId="0" fontId="0" fillId="0" borderId="0" xfId="0" applyAlignment="1">
      <alignment horizontal="center" vertical="center"/>
    </xf>
    <xf numFmtId="0" fontId="0" fillId="4" borderId="0" xfId="0" applyFill="1"/>
    <xf numFmtId="2" fontId="0" fillId="4" borderId="0" xfId="0" applyNumberFormat="1" applyFill="1"/>
    <xf numFmtId="0" fontId="0" fillId="4" borderId="0" xfId="0" applyFill="1" applyAlignment="1">
      <alignment horizontal="right"/>
    </xf>
    <xf numFmtId="0" fontId="0" fillId="7" borderId="0" xfId="0" applyFill="1"/>
    <xf numFmtId="0" fontId="7" fillId="0" borderId="0" xfId="0" applyFont="1" applyAlignment="1">
      <alignment horizontal="left"/>
    </xf>
    <xf numFmtId="0" fontId="0" fillId="8" borderId="0" xfId="0" applyFill="1" applyAlignment="1">
      <alignment horizontal="right"/>
    </xf>
    <xf numFmtId="2" fontId="0" fillId="8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png"/><Relationship Id="rId1" Type="http://schemas.openxmlformats.org/officeDocument/2006/relationships/image" Target="../media/image10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597126</xdr:colOff>
      <xdr:row>7</xdr:row>
      <xdr:rowOff>88971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9ACB57-B729-4B61-93C8-76F57A2F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7126" cy="13780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241300</xdr:colOff>
      <xdr:row>20</xdr:row>
      <xdr:rowOff>121535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668C53-6B7F-4574-9C61-3979253B6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3498850"/>
          <a:ext cx="1003300" cy="3056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317500</xdr:colOff>
      <xdr:row>16</xdr:row>
      <xdr:rowOff>180202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D89C9A-82A4-4711-B18E-B0BE899D9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7600" cy="3126602"/>
        </a:xfrm>
        <a:prstGeom prst="rect">
          <a:avLst/>
        </a:prstGeom>
      </xdr:spPr>
    </xdr:pic>
    <xdr:clientData/>
  </xdr:twoCellAnchor>
  <xdr:twoCellAnchor editAs="oneCell">
    <xdr:from>
      <xdr:col>0</xdr:col>
      <xdr:colOff>196850</xdr:colOff>
      <xdr:row>20</xdr:row>
      <xdr:rowOff>19050</xdr:rowOff>
    </xdr:from>
    <xdr:to>
      <xdr:col>0</xdr:col>
      <xdr:colOff>704876</xdr:colOff>
      <xdr:row>21</xdr:row>
      <xdr:rowOff>165118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9EDB5-CC15-4C22-8ED3-F6A189011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50" y="4070350"/>
          <a:ext cx="508026" cy="355618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29</xdr:row>
      <xdr:rowOff>27371</xdr:rowOff>
    </xdr:from>
    <xdr:to>
      <xdr:col>0</xdr:col>
      <xdr:colOff>685800</xdr:colOff>
      <xdr:row>30</xdr:row>
      <xdr:rowOff>170465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222C4D-324A-43C6-9983-62D12E28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" y="5863021"/>
          <a:ext cx="622300" cy="32724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33</xdr:row>
      <xdr:rowOff>0</xdr:rowOff>
    </xdr:from>
    <xdr:to>
      <xdr:col>1</xdr:col>
      <xdr:colOff>303069</xdr:colOff>
      <xdr:row>34</xdr:row>
      <xdr:rowOff>101600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251A8DE-2BE8-41C9-B6CA-F753EDA5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6572250"/>
          <a:ext cx="1065068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19078</xdr:rowOff>
    </xdr:from>
    <xdr:to>
      <xdr:col>1</xdr:col>
      <xdr:colOff>13235</xdr:colOff>
      <xdr:row>42</xdr:row>
      <xdr:rowOff>152400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DFDB01-E66B-4B28-BCF6-756F13767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89928"/>
          <a:ext cx="775235" cy="5016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3</xdr:col>
      <xdr:colOff>317636</xdr:colOff>
      <xdr:row>47</xdr:row>
      <xdr:rowOff>171478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BFC8541-F827-42BD-9DAE-81EBECB88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017000"/>
          <a:ext cx="2641736" cy="539778"/>
        </a:xfrm>
        <a:prstGeom prst="rect">
          <a:avLst/>
        </a:prstGeom>
      </xdr:spPr>
    </xdr:pic>
    <xdr:clientData/>
  </xdr:twoCellAnchor>
  <xdr:twoCellAnchor editAs="oneCell">
    <xdr:from>
      <xdr:col>4</xdr:col>
      <xdr:colOff>82550</xdr:colOff>
      <xdr:row>45</xdr:row>
      <xdr:rowOff>4594</xdr:rowOff>
    </xdr:from>
    <xdr:to>
      <xdr:col>7</xdr:col>
      <xdr:colOff>76200</xdr:colOff>
      <xdr:row>47</xdr:row>
      <xdr:rowOff>145927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D3DDE2C-811A-41D4-9473-25DBA86FC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" y="9021594"/>
          <a:ext cx="2279650" cy="5096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241299</xdr:colOff>
      <xdr:row>16</xdr:row>
      <xdr:rowOff>161763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F123F1-9E3B-4B63-BE03-EC21E85EC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51299" cy="3108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</xdr:col>
      <xdr:colOff>755650</xdr:colOff>
      <xdr:row>27</xdr:row>
      <xdr:rowOff>141333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D38D94-62EB-4A4E-A675-CE5DA2DB7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79950"/>
          <a:ext cx="2279650" cy="50963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52</xdr:row>
      <xdr:rowOff>33721</xdr:rowOff>
    </xdr:from>
    <xdr:to>
      <xdr:col>0</xdr:col>
      <xdr:colOff>717550</xdr:colOff>
      <xdr:row>53</xdr:row>
      <xdr:rowOff>176815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2E1576-4353-466D-8BE7-FAD1D3584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9787321"/>
          <a:ext cx="622300" cy="32724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56</xdr:row>
      <xdr:rowOff>25400</xdr:rowOff>
    </xdr:from>
    <xdr:to>
      <xdr:col>1</xdr:col>
      <xdr:colOff>360219</xdr:colOff>
      <xdr:row>57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79A65CD-52A9-4F9B-9E13-AE218593B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1" y="10515600"/>
          <a:ext cx="1065068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25401</xdr:colOff>
      <xdr:row>60</xdr:row>
      <xdr:rowOff>171478</xdr:rowOff>
    </xdr:from>
    <xdr:to>
      <xdr:col>0</xdr:col>
      <xdr:colOff>711201</xdr:colOff>
      <xdr:row>63</xdr:row>
      <xdr:rowOff>37380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448EE95-0B2D-441D-A5E3-2B216788B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1" y="11423678"/>
          <a:ext cx="685800" cy="4437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3</xdr:col>
      <xdr:colOff>355736</xdr:colOff>
      <xdr:row>66</xdr:row>
      <xdr:rowOff>171478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087FC09-1B4C-4284-9979-6A67C3C92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2014200"/>
          <a:ext cx="2641736" cy="5397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749299</xdr:colOff>
      <xdr:row>26</xdr:row>
      <xdr:rowOff>169622</xdr:rowOff>
    </xdr:from>
    <xdr:to>
      <xdr:col>6</xdr:col>
      <xdr:colOff>58878</xdr:colOff>
      <xdr:row>32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C831D5-3621-4A2E-A373-6BA642D8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6849" y="5211522"/>
          <a:ext cx="2357579" cy="1005128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34</xdr:row>
      <xdr:rowOff>6350</xdr:rowOff>
    </xdr:from>
    <xdr:to>
      <xdr:col>7</xdr:col>
      <xdr:colOff>165264</xdr:colOff>
      <xdr:row>41</xdr:row>
      <xdr:rowOff>44520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1502FA-F5FB-4DB5-9090-EAC998427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0" y="6572250"/>
          <a:ext cx="3200564" cy="13526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552450</xdr:colOff>
      <xdr:row>10</xdr:row>
      <xdr:rowOff>2178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E3D95E-C3BB-4EE1-A5D5-D0EB2FB80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19600" cy="18436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660618</xdr:colOff>
      <xdr:row>12</xdr:row>
      <xdr:rowOff>50916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7D6392-4109-4038-AE75-B93D6CB85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35668" cy="22607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717550</xdr:colOff>
      <xdr:row>14</xdr:row>
      <xdr:rowOff>15487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630FE-82B3-4F05-97D1-0DAEEAAD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25950" cy="2593587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22</xdr:row>
      <xdr:rowOff>146050</xdr:rowOff>
    </xdr:from>
    <xdr:to>
      <xdr:col>5</xdr:col>
      <xdr:colOff>465648</xdr:colOff>
      <xdr:row>28</xdr:row>
      <xdr:rowOff>21307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99ADBD-E5FD-4F10-8BF4-DA526A8B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5950" y="4235450"/>
          <a:ext cx="1018098" cy="99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755650</xdr:colOff>
      <xdr:row>12</xdr:row>
      <xdr:rowOff>163884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EB0C9A-1B12-48BD-91D9-A842CDAE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65650" cy="23736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204354</xdr:colOff>
      <xdr:row>17</xdr:row>
      <xdr:rowOff>6351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68BE00-F34E-4563-9B81-AA3272DFB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62154" cy="3136901"/>
        </a:xfrm>
        <a:prstGeom prst="rect">
          <a:avLst/>
        </a:prstGeom>
      </xdr:spPr>
    </xdr:pic>
    <xdr:clientData/>
  </xdr:twoCellAnchor>
  <xdr:twoCellAnchor>
    <xdr:from>
      <xdr:col>1</xdr:col>
      <xdr:colOff>31750</xdr:colOff>
      <xdr:row>19</xdr:row>
      <xdr:rowOff>107950</xdr:rowOff>
    </xdr:from>
    <xdr:to>
      <xdr:col>2</xdr:col>
      <xdr:colOff>266700</xdr:colOff>
      <xdr:row>19</xdr:row>
      <xdr:rowOff>107950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378E1FD-D2BA-4144-965F-843F3C8181DB}"/>
            </a:ext>
          </a:extLst>
        </xdr:cNvPr>
        <xdr:cNvCxnSpPr/>
      </xdr:nvCxnSpPr>
      <xdr:spPr>
        <a:xfrm>
          <a:off x="298450" y="3606800"/>
          <a:ext cx="996950" cy="0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6350</xdr:colOff>
      <xdr:row>18</xdr:row>
      <xdr:rowOff>146050</xdr:rowOff>
    </xdr:from>
    <xdr:to>
      <xdr:col>2</xdr:col>
      <xdr:colOff>438150</xdr:colOff>
      <xdr:row>24</xdr:row>
      <xdr:rowOff>101600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BFBB1CE-0551-46A5-B813-DC7BD94A479A}"/>
            </a:ext>
          </a:extLst>
        </xdr:cNvPr>
        <xdr:cNvCxnSpPr/>
      </xdr:nvCxnSpPr>
      <xdr:spPr>
        <a:xfrm flipV="1">
          <a:off x="273050" y="3460750"/>
          <a:ext cx="1193800" cy="1060450"/>
        </a:xfrm>
        <a:prstGeom prst="line">
          <a:avLst/>
        </a:prstGeom>
        <a:ln w="19050">
          <a:solidFill>
            <a:schemeClr val="accent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19</xdr:row>
      <xdr:rowOff>114300</xdr:rowOff>
    </xdr:from>
    <xdr:to>
      <xdr:col>2</xdr:col>
      <xdr:colOff>260350</xdr:colOff>
      <xdr:row>25</xdr:row>
      <xdr:rowOff>133350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8F09AE96-5673-4C73-8AFA-29CA7B9A7F67}"/>
            </a:ext>
          </a:extLst>
        </xdr:cNvPr>
        <xdr:cNvCxnSpPr/>
      </xdr:nvCxnSpPr>
      <xdr:spPr>
        <a:xfrm>
          <a:off x="1289050" y="3613150"/>
          <a:ext cx="0" cy="1123950"/>
        </a:xfrm>
        <a:prstGeom prst="line">
          <a:avLst/>
        </a:prstGeom>
        <a:ln>
          <a:solidFill>
            <a:schemeClr val="accent1"/>
          </a:solidFill>
          <a:prstDash val="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539750</xdr:colOff>
      <xdr:row>20</xdr:row>
      <xdr:rowOff>50800</xdr:rowOff>
    </xdr:from>
    <xdr:to>
      <xdr:col>2</xdr:col>
      <xdr:colOff>146050</xdr:colOff>
      <xdr:row>20</xdr:row>
      <xdr:rowOff>57150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F0497358-FD6B-42A9-9CCB-25BA72CEB460}"/>
            </a:ext>
          </a:extLst>
        </xdr:cNvPr>
        <xdr:cNvCxnSpPr/>
      </xdr:nvCxnSpPr>
      <xdr:spPr>
        <a:xfrm flipV="1">
          <a:off x="539750" y="3733800"/>
          <a:ext cx="914400" cy="63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88900</xdr:colOff>
      <xdr:row>20</xdr:row>
      <xdr:rowOff>25400</xdr:rowOff>
    </xdr:from>
    <xdr:to>
      <xdr:col>2</xdr:col>
      <xdr:colOff>146050</xdr:colOff>
      <xdr:row>20</xdr:row>
      <xdr:rowOff>95250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223B3118-103A-407C-A527-824B5CADFF4D}"/>
            </a:ext>
          </a:extLst>
        </xdr:cNvPr>
        <xdr:cNvSpPr/>
      </xdr:nvSpPr>
      <xdr:spPr>
        <a:xfrm>
          <a:off x="1397000" y="3708400"/>
          <a:ext cx="57150" cy="698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228600</xdr:colOff>
      <xdr:row>19</xdr:row>
      <xdr:rowOff>95250</xdr:rowOff>
    </xdr:from>
    <xdr:to>
      <xdr:col>2</xdr:col>
      <xdr:colOff>292100</xdr:colOff>
      <xdr:row>19</xdr:row>
      <xdr:rowOff>152400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7BA1FB7D-5CD0-4517-ACEF-7069BE5EE55D}"/>
            </a:ext>
          </a:extLst>
        </xdr:cNvPr>
        <xdr:cNvSpPr/>
      </xdr:nvSpPr>
      <xdr:spPr>
        <a:xfrm flipH="1">
          <a:off x="1536700" y="3594100"/>
          <a:ext cx="63500" cy="571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</xdr:rowOff>
    </xdr:from>
    <xdr:to>
      <xdr:col>6</xdr:col>
      <xdr:colOff>12700</xdr:colOff>
      <xdr:row>11</xdr:row>
      <xdr:rowOff>51451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3772FE-E5E6-4CEF-B001-7284CA8FE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1"/>
          <a:ext cx="3581400" cy="18929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110490</xdr:colOff>
      <xdr:row>14</xdr:row>
      <xdr:rowOff>124171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E88E56-756D-4492-8F0C-0677042081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47" t="36982" r="38085" b="14359"/>
        <a:stretch/>
      </xdr:blipFill>
      <xdr:spPr bwMode="auto">
        <a:xfrm>
          <a:off x="0" y="0"/>
          <a:ext cx="4479290" cy="270227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3</xdr:col>
      <xdr:colOff>25401</xdr:colOff>
      <xdr:row>21</xdr:row>
      <xdr:rowOff>44450</xdr:rowOff>
    </xdr:from>
    <xdr:to>
      <xdr:col>4</xdr:col>
      <xdr:colOff>496149</xdr:colOff>
      <xdr:row>23</xdr:row>
      <xdr:rowOff>88900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524BF-103C-4223-8D05-1DCD0900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1401" y="3911600"/>
          <a:ext cx="1232748" cy="41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165100</xdr:rowOff>
    </xdr:from>
    <xdr:to>
      <xdr:col>2</xdr:col>
      <xdr:colOff>381000</xdr:colOff>
      <xdr:row>44</xdr:row>
      <xdr:rowOff>147311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7B00393-D4AC-42FD-A876-71385D17C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07300"/>
          <a:ext cx="1701800" cy="718811"/>
        </a:xfrm>
        <a:prstGeom prst="rect">
          <a:avLst/>
        </a:prstGeom>
      </xdr:spPr>
    </xdr:pic>
    <xdr:clientData/>
  </xdr:twoCellAnchor>
  <xdr:twoCellAnchor editAs="oneCell">
    <xdr:from>
      <xdr:col>3</xdr:col>
      <xdr:colOff>107950</xdr:colOff>
      <xdr:row>41</xdr:row>
      <xdr:rowOff>99704</xdr:rowOff>
    </xdr:from>
    <xdr:to>
      <xdr:col>8</xdr:col>
      <xdr:colOff>571500</xdr:colOff>
      <xdr:row>55</xdr:row>
      <xdr:rowOff>123714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7E477A-052E-4440-A2F4-BD2FE45415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4879"/>
        <a:stretch/>
      </xdr:blipFill>
      <xdr:spPr bwMode="auto">
        <a:xfrm>
          <a:off x="2190750" y="7726054"/>
          <a:ext cx="4273550" cy="262751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5644-B2B1-44CC-8579-E109FBBCCFF6}">
  <dimension ref="A9:F28"/>
  <sheetViews>
    <sheetView topLeftCell="A13" workbookViewId="0">
      <selection activeCell="B21" sqref="B21"/>
    </sheetView>
  </sheetViews>
  <sheetFormatPr baseColWidth="10" defaultRowHeight="14.5" x14ac:dyDescent="0.35"/>
  <sheetData>
    <row r="9" spans="1:5" x14ac:dyDescent="0.35">
      <c r="A9" t="s">
        <v>173</v>
      </c>
    </row>
    <row r="10" spans="1:5" x14ac:dyDescent="0.35">
      <c r="A10" t="s">
        <v>172</v>
      </c>
      <c r="B10">
        <v>1850</v>
      </c>
      <c r="C10" t="s">
        <v>8</v>
      </c>
    </row>
    <row r="11" spans="1:5" x14ac:dyDescent="0.35">
      <c r="A11" t="s">
        <v>178</v>
      </c>
      <c r="B11">
        <v>3.5</v>
      </c>
      <c r="C11" t="s">
        <v>8</v>
      </c>
      <c r="E11">
        <f>0.5*1.5</f>
        <v>0.75</v>
      </c>
    </row>
    <row r="12" spans="1:5" x14ac:dyDescent="0.35">
      <c r="A12" t="s">
        <v>179</v>
      </c>
      <c r="B12">
        <v>3</v>
      </c>
      <c r="C12" t="s">
        <v>8</v>
      </c>
      <c r="E12" s="36">
        <f>B11-E11</f>
        <v>2.75</v>
      </c>
    </row>
    <row r="13" spans="1:5" x14ac:dyDescent="0.35">
      <c r="A13" t="s">
        <v>36</v>
      </c>
      <c r="B13">
        <v>0.375</v>
      </c>
      <c r="C13" t="s">
        <v>174</v>
      </c>
      <c r="D13" t="s">
        <v>183</v>
      </c>
    </row>
    <row r="14" spans="1:5" x14ac:dyDescent="0.35">
      <c r="A14" t="s">
        <v>45</v>
      </c>
      <c r="B14" s="18" t="s">
        <v>176</v>
      </c>
      <c r="C14" t="s">
        <v>177</v>
      </c>
      <c r="D14" t="s">
        <v>182</v>
      </c>
    </row>
    <row r="15" spans="1:5" x14ac:dyDescent="0.35">
      <c r="A15" t="s">
        <v>5</v>
      </c>
      <c r="B15">
        <v>1250</v>
      </c>
      <c r="C15" t="s">
        <v>67</v>
      </c>
    </row>
    <row r="16" spans="1:5" x14ac:dyDescent="0.35">
      <c r="A16" t="s">
        <v>175</v>
      </c>
      <c r="B16">
        <v>0.18</v>
      </c>
    </row>
    <row r="18" spans="1:6" x14ac:dyDescent="0.35">
      <c r="A18" s="24" t="s">
        <v>59</v>
      </c>
      <c r="B18" s="1">
        <f>LN(B11/B12)</f>
        <v>0.15415067982725836</v>
      </c>
    </row>
    <row r="19" spans="1:6" x14ac:dyDescent="0.35">
      <c r="A19" s="24" t="s">
        <v>180</v>
      </c>
      <c r="B19" s="1">
        <f>B15*(B18^B16)/(1+B16)</f>
        <v>756.58579951632055</v>
      </c>
      <c r="C19" t="s">
        <v>67</v>
      </c>
    </row>
    <row r="20" spans="1:6" x14ac:dyDescent="0.35">
      <c r="A20" s="13" t="s">
        <v>158</v>
      </c>
      <c r="B20">
        <f>B10</f>
        <v>1850</v>
      </c>
      <c r="C20" t="s">
        <v>8</v>
      </c>
    </row>
    <row r="21" spans="1:6" x14ac:dyDescent="0.35">
      <c r="A21" s="13" t="s">
        <v>181</v>
      </c>
      <c r="B21">
        <f>SQRT((B13/2*1000)*(B11-B12))</f>
        <v>9.6824583655185421</v>
      </c>
      <c r="C21" t="s">
        <v>8</v>
      </c>
    </row>
    <row r="22" spans="1:6" x14ac:dyDescent="0.35">
      <c r="A22" s="13" t="s">
        <v>154</v>
      </c>
      <c r="B22">
        <f>B19*B20*B21</f>
        <v>13552379.431954764</v>
      </c>
      <c r="C22" t="s">
        <v>184</v>
      </c>
    </row>
    <row r="23" spans="1:6" x14ac:dyDescent="0.35">
      <c r="A23" s="13" t="s">
        <v>154</v>
      </c>
      <c r="B23">
        <f>B22/1000000</f>
        <v>13.552379431954764</v>
      </c>
      <c r="C23" t="s">
        <v>189</v>
      </c>
      <c r="D23" t="s">
        <v>185</v>
      </c>
      <c r="E23" t="s">
        <v>187</v>
      </c>
      <c r="F23" t="s">
        <v>182</v>
      </c>
    </row>
    <row r="24" spans="1:6" x14ac:dyDescent="0.35">
      <c r="A24" s="35" t="s">
        <v>154</v>
      </c>
      <c r="B24" s="33">
        <f>B23</f>
        <v>13.552379431954764</v>
      </c>
      <c r="C24" s="33" t="s">
        <v>190</v>
      </c>
      <c r="E24" t="s">
        <v>186</v>
      </c>
      <c r="F24" t="s">
        <v>188</v>
      </c>
    </row>
    <row r="25" spans="1:6" x14ac:dyDescent="0.35">
      <c r="E25">
        <f>1000^2</f>
        <v>1000000</v>
      </c>
    </row>
    <row r="26" spans="1:6" x14ac:dyDescent="0.35">
      <c r="A26" s="13" t="s">
        <v>191</v>
      </c>
      <c r="B26">
        <f>0.5*(B21/1000)*B24</f>
        <v>6.5610174801805921E-2</v>
      </c>
      <c r="C26" t="s">
        <v>192</v>
      </c>
    </row>
    <row r="27" spans="1:6" x14ac:dyDescent="0.35">
      <c r="A27" s="13" t="s">
        <v>123</v>
      </c>
      <c r="B27" s="1">
        <f>(PI()*30*(B24*10^6)*(B21/1000))/30</f>
        <v>412240.88631619129</v>
      </c>
      <c r="C27" t="s">
        <v>22</v>
      </c>
    </row>
    <row r="28" spans="1:6" x14ac:dyDescent="0.35">
      <c r="A28" s="35" t="s">
        <v>123</v>
      </c>
      <c r="B28" s="33">
        <f>B27/745.7</f>
        <v>552.82403958185762</v>
      </c>
      <c r="C28" s="33" t="s">
        <v>193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DA421-3281-4944-AF38-F833F33AA615}">
  <dimension ref="A19:F58"/>
  <sheetViews>
    <sheetView topLeftCell="A46" workbookViewId="0">
      <selection activeCell="C58" sqref="C58"/>
    </sheetView>
  </sheetViews>
  <sheetFormatPr baseColWidth="10" defaultRowHeight="14.5" x14ac:dyDescent="0.35"/>
  <cols>
    <col min="2" max="3" width="11.1796875" bestFit="1" customWidth="1"/>
  </cols>
  <sheetData>
    <row r="19" spans="1:3" x14ac:dyDescent="0.35">
      <c r="A19" s="16" t="s">
        <v>62</v>
      </c>
      <c r="B19" s="16"/>
    </row>
    <row r="20" spans="1:3" x14ac:dyDescent="0.35">
      <c r="A20" t="s">
        <v>50</v>
      </c>
    </row>
    <row r="21" spans="1:3" ht="16.5" x14ac:dyDescent="0.45">
      <c r="B21" s="13" t="s">
        <v>53</v>
      </c>
      <c r="C21" t="s">
        <v>51</v>
      </c>
    </row>
    <row r="22" spans="1:3" ht="16.5" x14ac:dyDescent="0.45">
      <c r="B22" s="13" t="s">
        <v>54</v>
      </c>
      <c r="C22" t="s">
        <v>52</v>
      </c>
    </row>
    <row r="23" spans="1:3" x14ac:dyDescent="0.35">
      <c r="A23" s="13" t="s">
        <v>79</v>
      </c>
      <c r="B23">
        <v>80</v>
      </c>
      <c r="C23" t="s">
        <v>8</v>
      </c>
    </row>
    <row r="24" spans="1:3" x14ac:dyDescent="0.35">
      <c r="A24" s="13" t="s">
        <v>55</v>
      </c>
      <c r="B24">
        <v>50</v>
      </c>
      <c r="C24" t="s">
        <v>8</v>
      </c>
    </row>
    <row r="25" spans="1:3" ht="16.5" x14ac:dyDescent="0.45">
      <c r="A25" s="13" t="s">
        <v>53</v>
      </c>
      <c r="B25" s="1">
        <f>PI()*(B24/2)^2</f>
        <v>1963.4954084936207</v>
      </c>
      <c r="C25" t="s">
        <v>56</v>
      </c>
    </row>
    <row r="26" spans="1:3" ht="16.5" x14ac:dyDescent="0.45">
      <c r="A26" s="13" t="s">
        <v>54</v>
      </c>
      <c r="B26" s="1">
        <f>15*5*2+(PI()*((15^2)-(10^2)))/2</f>
        <v>346.34954084936203</v>
      </c>
      <c r="C26" t="s">
        <v>56</v>
      </c>
    </row>
    <row r="27" spans="1:3" ht="16.5" x14ac:dyDescent="0.45">
      <c r="A27" s="13" t="s">
        <v>57</v>
      </c>
      <c r="B27" s="1">
        <f>B25/B26</f>
        <v>5.6691150901441638</v>
      </c>
    </row>
    <row r="29" spans="1:3" x14ac:dyDescent="0.35">
      <c r="A29" s="14" t="s">
        <v>58</v>
      </c>
    </row>
    <row r="31" spans="1:3" x14ac:dyDescent="0.35">
      <c r="B31" s="13" t="s">
        <v>59</v>
      </c>
      <c r="C31" s="15">
        <f>LN(B27)</f>
        <v>1.7350330368020217</v>
      </c>
    </row>
    <row r="33" spans="1:5" x14ac:dyDescent="0.35">
      <c r="A33" t="s">
        <v>64</v>
      </c>
    </row>
    <row r="36" spans="1:5" x14ac:dyDescent="0.35">
      <c r="B36" s="13" t="s">
        <v>60</v>
      </c>
      <c r="C36" s="14">
        <v>0.8</v>
      </c>
    </row>
    <row r="37" spans="1:5" x14ac:dyDescent="0.35">
      <c r="B37" s="13" t="s">
        <v>61</v>
      </c>
      <c r="C37" s="14">
        <v>1.35</v>
      </c>
    </row>
    <row r="38" spans="1:5" ht="16.5" x14ac:dyDescent="0.45">
      <c r="B38" s="13" t="s">
        <v>63</v>
      </c>
      <c r="C38" s="15">
        <f>C36+C37*C31</f>
        <v>3.1422945996827298</v>
      </c>
    </row>
    <row r="40" spans="1:5" x14ac:dyDescent="0.35">
      <c r="A40" t="s">
        <v>65</v>
      </c>
    </row>
    <row r="41" spans="1:5" x14ac:dyDescent="0.35">
      <c r="B41" s="13" t="s">
        <v>70</v>
      </c>
      <c r="C41">
        <v>400</v>
      </c>
      <c r="D41" t="s">
        <v>67</v>
      </c>
      <c r="E41" t="s">
        <v>68</v>
      </c>
    </row>
    <row r="42" spans="1:5" x14ac:dyDescent="0.35">
      <c r="B42" s="13" t="s">
        <v>71</v>
      </c>
      <c r="C42">
        <v>0.1</v>
      </c>
      <c r="E42" t="s">
        <v>69</v>
      </c>
    </row>
    <row r="43" spans="1:5" ht="16.5" x14ac:dyDescent="0.45">
      <c r="B43" s="13" t="s">
        <v>66</v>
      </c>
      <c r="C43" s="1">
        <f>(C41*C31^C42)/(1+C42)</f>
        <v>384.23602521425471</v>
      </c>
      <c r="D43" t="s">
        <v>67</v>
      </c>
    </row>
    <row r="45" spans="1:5" x14ac:dyDescent="0.35">
      <c r="A45" t="s">
        <v>72</v>
      </c>
    </row>
    <row r="49" spans="1:6" x14ac:dyDescent="0.35">
      <c r="A49" s="13" t="s">
        <v>73</v>
      </c>
      <c r="B49" t="s">
        <v>74</v>
      </c>
    </row>
    <row r="50" spans="1:6" x14ac:dyDescent="0.35">
      <c r="A50" s="13" t="s">
        <v>75</v>
      </c>
      <c r="B50" t="s">
        <v>76</v>
      </c>
    </row>
    <row r="52" spans="1:6" ht="16.5" x14ac:dyDescent="0.45">
      <c r="A52" s="13" t="s">
        <v>80</v>
      </c>
      <c r="B52" s="1">
        <f>15+5+15+(PI()*(2*15))/2+15+5+15+(PI()*(2*10))/2</f>
        <v>148.53981633974482</v>
      </c>
      <c r="C52" t="s">
        <v>8</v>
      </c>
    </row>
    <row r="53" spans="1:6" x14ac:dyDescent="0.35">
      <c r="A53" s="13" t="s">
        <v>75</v>
      </c>
      <c r="B53" s="1">
        <f>PI()*(E54)</f>
        <v>65.972393411382413</v>
      </c>
      <c r="C53" t="s">
        <v>8</v>
      </c>
      <c r="D53" s="13" t="str">
        <f>"pi*(d/2)^2 ="</f>
        <v>pi*(d/2)^2 =</v>
      </c>
      <c r="E53" s="1">
        <f>B26</f>
        <v>346.34954084936203</v>
      </c>
    </row>
    <row r="54" spans="1:6" x14ac:dyDescent="0.35">
      <c r="B54" s="1">
        <f>B52/B53</f>
        <v>2.251545057847133</v>
      </c>
      <c r="D54" s="13" t="s">
        <v>77</v>
      </c>
      <c r="E54" s="1">
        <f>SQRT((E53*4)/PI())</f>
        <v>20.9996650380494</v>
      </c>
      <c r="F54" t="s">
        <v>8</v>
      </c>
    </row>
    <row r="56" spans="1:6" ht="16.5" x14ac:dyDescent="0.45">
      <c r="A56" s="13" t="s">
        <v>81</v>
      </c>
      <c r="B56" s="1">
        <f>0.98+0.02*(B52/B53)^2.25</f>
        <v>1.1041970960071239</v>
      </c>
    </row>
    <row r="58" spans="1:6" x14ac:dyDescent="0.35">
      <c r="A58" s="17" t="s">
        <v>78</v>
      </c>
      <c r="B58" s="1">
        <f>B56*C43*(C38+(2*B23)/B24)</f>
        <v>2690.8599375255526</v>
      </c>
      <c r="C58" t="s">
        <v>67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9004-D251-4A29-870B-35440315A951}">
  <dimension ref="A18:F72"/>
  <sheetViews>
    <sheetView topLeftCell="A65" workbookViewId="0">
      <selection activeCell="B73" sqref="B73"/>
    </sheetView>
  </sheetViews>
  <sheetFormatPr baseColWidth="10" defaultRowHeight="14.5" x14ac:dyDescent="0.35"/>
  <sheetData>
    <row r="18" spans="1:5" s="20" customFormat="1" x14ac:dyDescent="0.35">
      <c r="A18" s="20" t="s">
        <v>194</v>
      </c>
    </row>
    <row r="19" spans="1:5" x14ac:dyDescent="0.35">
      <c r="A19" s="13" t="s">
        <v>79</v>
      </c>
      <c r="B19">
        <v>250</v>
      </c>
      <c r="C19" t="s">
        <v>8</v>
      </c>
    </row>
    <row r="20" spans="1:5" x14ac:dyDescent="0.35">
      <c r="A20" s="13" t="s">
        <v>55</v>
      </c>
      <c r="B20">
        <v>90</v>
      </c>
      <c r="C20" t="s">
        <v>8</v>
      </c>
    </row>
    <row r="21" spans="1:5" ht="17.5" x14ac:dyDescent="0.45">
      <c r="A21" s="13" t="s">
        <v>53</v>
      </c>
      <c r="B21" s="1">
        <f>PI()*(B20/2)^2</f>
        <v>6361.7251235193307</v>
      </c>
      <c r="C21" t="s">
        <v>202</v>
      </c>
    </row>
    <row r="22" spans="1:5" ht="17.5" x14ac:dyDescent="0.45">
      <c r="A22" s="13" t="s">
        <v>54</v>
      </c>
      <c r="B22" s="1">
        <f>63*14+(50-14)*14</f>
        <v>1386</v>
      </c>
      <c r="C22" t="s">
        <v>202</v>
      </c>
    </row>
    <row r="23" spans="1:5" ht="16.5" x14ac:dyDescent="0.45">
      <c r="A23" s="38" t="s">
        <v>57</v>
      </c>
      <c r="B23" s="39">
        <f>B21/B22</f>
        <v>4.5899892666084634</v>
      </c>
    </row>
    <row r="25" spans="1:5" s="20" customFormat="1" x14ac:dyDescent="0.35">
      <c r="A25" s="37" t="s">
        <v>195</v>
      </c>
    </row>
    <row r="31" spans="1:5" ht="16.5" x14ac:dyDescent="0.45">
      <c r="A31" s="13" t="s">
        <v>80</v>
      </c>
      <c r="B31" s="1">
        <f>63+14+49+36+14+50</f>
        <v>226</v>
      </c>
      <c r="C31" t="s">
        <v>8</v>
      </c>
    </row>
    <row r="32" spans="1:5" x14ac:dyDescent="0.35">
      <c r="A32" s="13" t="s">
        <v>75</v>
      </c>
      <c r="B32" s="1">
        <f>PI()*(E33)</f>
        <v>131.97344305390314</v>
      </c>
      <c r="C32" t="s">
        <v>8</v>
      </c>
      <c r="D32" s="13" t="str">
        <f>"pi*(d/2)^2 ="</f>
        <v>pi*(d/2)^2 =</v>
      </c>
      <c r="E32" s="1">
        <f>B22</f>
        <v>1386</v>
      </c>
    </row>
    <row r="33" spans="1:6" x14ac:dyDescent="0.35">
      <c r="B33" s="1">
        <f>B31/B32</f>
        <v>1.712465741366562</v>
      </c>
      <c r="D33" s="13" t="s">
        <v>77</v>
      </c>
      <c r="E33" s="1">
        <f>SQRT((E32*4)/PI())</f>
        <v>42.008451637770889</v>
      </c>
      <c r="F33" t="s">
        <v>8</v>
      </c>
    </row>
    <row r="35" spans="1:6" ht="16.5" x14ac:dyDescent="0.45">
      <c r="A35" s="38" t="s">
        <v>196</v>
      </c>
      <c r="B35" s="39">
        <f>0.98+0.02*(B31/B32)^2.25</f>
        <v>1.0470933153532374</v>
      </c>
    </row>
    <row r="37" spans="1:6" s="20" customFormat="1" x14ac:dyDescent="0.35">
      <c r="A37" s="20" t="s">
        <v>197</v>
      </c>
    </row>
    <row r="39" spans="1:6" x14ac:dyDescent="0.35">
      <c r="A39" t="s">
        <v>198</v>
      </c>
    </row>
    <row r="40" spans="1:6" x14ac:dyDescent="0.35">
      <c r="A40" s="24" t="s">
        <v>199</v>
      </c>
      <c r="B40">
        <v>90</v>
      </c>
      <c r="C40" t="s">
        <v>8</v>
      </c>
    </row>
    <row r="41" spans="1:6" x14ac:dyDescent="0.35">
      <c r="A41" s="24" t="s">
        <v>200</v>
      </c>
      <c r="B41">
        <v>25</v>
      </c>
      <c r="C41" t="s">
        <v>8</v>
      </c>
    </row>
    <row r="42" spans="1:6" ht="16.5" x14ac:dyDescent="0.35">
      <c r="A42" t="s">
        <v>201</v>
      </c>
      <c r="D42">
        <f>B21*(B19-B41)</f>
        <v>1431388.1527918493</v>
      </c>
      <c r="E42" t="s">
        <v>94</v>
      </c>
    </row>
    <row r="43" spans="1:6" x14ac:dyDescent="0.35">
      <c r="A43" s="40" t="s">
        <v>203</v>
      </c>
      <c r="B43" s="40"/>
      <c r="C43" s="40">
        <f>D42/B22</f>
        <v>1032.7475849869043</v>
      </c>
      <c r="D43" s="40" t="s">
        <v>8</v>
      </c>
    </row>
    <row r="45" spans="1:6" s="20" customFormat="1" x14ac:dyDescent="0.35">
      <c r="A45" s="20" t="s">
        <v>204</v>
      </c>
    </row>
    <row r="47" spans="1:6" x14ac:dyDescent="0.35">
      <c r="A47" s="13" t="s">
        <v>70</v>
      </c>
      <c r="B47">
        <v>400</v>
      </c>
      <c r="C47" t="s">
        <v>67</v>
      </c>
    </row>
    <row r="48" spans="1:6" x14ac:dyDescent="0.35">
      <c r="A48" s="13" t="s">
        <v>205</v>
      </c>
      <c r="B48">
        <v>0.14000000000000001</v>
      </c>
    </row>
    <row r="49" spans="1:4" x14ac:dyDescent="0.35">
      <c r="A49" s="13" t="s">
        <v>156</v>
      </c>
      <c r="B49">
        <v>0.8</v>
      </c>
    </row>
    <row r="50" spans="1:4" x14ac:dyDescent="0.35">
      <c r="A50" s="13" t="s">
        <v>157</v>
      </c>
      <c r="B50">
        <v>1.35</v>
      </c>
    </row>
    <row r="52" spans="1:4" x14ac:dyDescent="0.35">
      <c r="A52" s="14" t="s">
        <v>206</v>
      </c>
    </row>
    <row r="54" spans="1:4" x14ac:dyDescent="0.35">
      <c r="B54" s="13" t="s">
        <v>59</v>
      </c>
      <c r="C54" s="15">
        <f>LN(B23)</f>
        <v>1.523877685640191</v>
      </c>
    </row>
    <row r="56" spans="1:4" x14ac:dyDescent="0.35">
      <c r="A56" t="s">
        <v>207</v>
      </c>
    </row>
    <row r="59" spans="1:4" ht="16.5" x14ac:dyDescent="0.45">
      <c r="B59" s="13" t="s">
        <v>63</v>
      </c>
      <c r="C59" s="15">
        <f>B49+B50*C54</f>
        <v>2.8572348756142576</v>
      </c>
    </row>
    <row r="61" spans="1:4" x14ac:dyDescent="0.35">
      <c r="A61" t="s">
        <v>208</v>
      </c>
    </row>
    <row r="62" spans="1:4" ht="16.5" x14ac:dyDescent="0.45">
      <c r="B62" s="13" t="s">
        <v>66</v>
      </c>
      <c r="C62" s="1">
        <f>(B47*C54^B48)/(1+B48)</f>
        <v>372.19296095772353</v>
      </c>
      <c r="D62" t="s">
        <v>67</v>
      </c>
    </row>
    <row r="69" spans="1:3" x14ac:dyDescent="0.35">
      <c r="A69" t="s">
        <v>78</v>
      </c>
      <c r="B69">
        <f>B35*C62*(C59+((2*B19)/B20))</f>
        <v>3278.6390926736808</v>
      </c>
      <c r="C69" t="s">
        <v>67</v>
      </c>
    </row>
    <row r="70" spans="1:3" x14ac:dyDescent="0.35">
      <c r="A70" t="s">
        <v>154</v>
      </c>
      <c r="B70">
        <f>B69*B21</f>
        <v>20857800.686814778</v>
      </c>
      <c r="C70" t="s">
        <v>184</v>
      </c>
    </row>
    <row r="71" spans="1:3" x14ac:dyDescent="0.35">
      <c r="B71">
        <f>B70/1000000</f>
        <v>20.857800686814777</v>
      </c>
      <c r="C71" t="s">
        <v>189</v>
      </c>
    </row>
    <row r="72" spans="1:3" x14ac:dyDescent="0.35">
      <c r="B72">
        <f>B71</f>
        <v>20.857800686814777</v>
      </c>
      <c r="C72" t="s">
        <v>190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3BF1-58D9-4358-AA71-03C5B5221CEB}">
  <dimension ref="A1:F47"/>
  <sheetViews>
    <sheetView topLeftCell="A37" workbookViewId="0">
      <selection activeCell="D49" sqref="D49"/>
    </sheetView>
  </sheetViews>
  <sheetFormatPr baseColWidth="10" defaultRowHeight="14.5" x14ac:dyDescent="0.35"/>
  <cols>
    <col min="1" max="1" width="17.54296875" customWidth="1"/>
  </cols>
  <sheetData>
    <row r="1" spans="1:6" x14ac:dyDescent="0.35">
      <c r="A1" t="s">
        <v>82</v>
      </c>
    </row>
    <row r="2" spans="1:6" s="20" customFormat="1" ht="16.5" x14ac:dyDescent="0.45">
      <c r="A2" s="19" t="s">
        <v>102</v>
      </c>
      <c r="B2" s="20" t="s">
        <v>87</v>
      </c>
    </row>
    <row r="3" spans="1:6" ht="16.5" x14ac:dyDescent="0.35">
      <c r="A3" s="13" t="s">
        <v>90</v>
      </c>
      <c r="B3" s="18">
        <v>8.6</v>
      </c>
      <c r="C3" t="s">
        <v>91</v>
      </c>
    </row>
    <row r="4" spans="1:6" x14ac:dyDescent="0.35">
      <c r="A4" s="13" t="s">
        <v>3</v>
      </c>
      <c r="B4">
        <v>5</v>
      </c>
      <c r="C4" t="s">
        <v>8</v>
      </c>
    </row>
    <row r="5" spans="1:6" x14ac:dyDescent="0.35">
      <c r="A5" s="13" t="s">
        <v>92</v>
      </c>
      <c r="B5">
        <v>9</v>
      </c>
      <c r="C5" t="s">
        <v>8</v>
      </c>
    </row>
    <row r="6" spans="1:6" x14ac:dyDescent="0.35">
      <c r="A6" s="13" t="s">
        <v>93</v>
      </c>
      <c r="B6">
        <v>1</v>
      </c>
      <c r="C6" t="s">
        <v>8</v>
      </c>
    </row>
    <row r="7" spans="1:6" x14ac:dyDescent="0.35">
      <c r="A7" s="13" t="s">
        <v>40</v>
      </c>
      <c r="B7">
        <v>10</v>
      </c>
      <c r="C7" t="s">
        <v>8</v>
      </c>
    </row>
    <row r="8" spans="1:6" x14ac:dyDescent="0.35">
      <c r="A8" s="13"/>
    </row>
    <row r="9" spans="1:6" x14ac:dyDescent="0.35">
      <c r="A9" t="s">
        <v>83</v>
      </c>
    </row>
    <row r="10" spans="1:6" s="20" customFormat="1" x14ac:dyDescent="0.35">
      <c r="A10" s="19" t="s">
        <v>85</v>
      </c>
      <c r="B10" s="20" t="s">
        <v>86</v>
      </c>
    </row>
    <row r="12" spans="1:6" x14ac:dyDescent="0.35">
      <c r="A12" t="s">
        <v>84</v>
      </c>
    </row>
    <row r="13" spans="1:6" ht="16.5" x14ac:dyDescent="0.35">
      <c r="A13" s="19" t="s">
        <v>85</v>
      </c>
      <c r="B13" s="20" t="s">
        <v>89</v>
      </c>
      <c r="C13">
        <f>(((B4+B5)/2)*B6)*B7</f>
        <v>70</v>
      </c>
      <c r="D13" t="s">
        <v>94</v>
      </c>
      <c r="E13">
        <f>C13/1000</f>
        <v>7.0000000000000007E-2</v>
      </c>
      <c r="F13" t="s">
        <v>95</v>
      </c>
    </row>
    <row r="14" spans="1:6" ht="16.5" x14ac:dyDescent="0.45">
      <c r="A14" s="13" t="s">
        <v>88</v>
      </c>
      <c r="B14" s="18">
        <f>B3*E13</f>
        <v>0.60199999999999998</v>
      </c>
      <c r="C14" t="s">
        <v>96</v>
      </c>
    </row>
    <row r="16" spans="1:6" x14ac:dyDescent="0.35">
      <c r="A16" t="s">
        <v>114</v>
      </c>
    </row>
    <row r="17" spans="1:4" ht="16.5" x14ac:dyDescent="0.45">
      <c r="A17" s="19" t="s">
        <v>103</v>
      </c>
      <c r="B17" s="20" t="s">
        <v>104</v>
      </c>
    </row>
    <row r="18" spans="1:4" ht="16.5" x14ac:dyDescent="0.45">
      <c r="A18" s="13" t="s">
        <v>97</v>
      </c>
      <c r="B18">
        <f>1.8*B14</f>
        <v>1.0835999999999999</v>
      </c>
      <c r="C18" t="s">
        <v>96</v>
      </c>
    </row>
    <row r="19" spans="1:4" ht="16.5" x14ac:dyDescent="0.45">
      <c r="A19" s="13"/>
    </row>
    <row r="20" spans="1:4" ht="16.5" x14ac:dyDescent="0.45">
      <c r="A20" s="21" t="s">
        <v>98</v>
      </c>
      <c r="B20" s="20" t="s">
        <v>105</v>
      </c>
      <c r="C20" s="20"/>
    </row>
    <row r="21" spans="1:4" x14ac:dyDescent="0.35">
      <c r="A21" s="13" t="s">
        <v>99</v>
      </c>
      <c r="B21">
        <v>63.545999999999999</v>
      </c>
      <c r="C21" t="s">
        <v>96</v>
      </c>
    </row>
    <row r="22" spans="1:4" x14ac:dyDescent="0.35">
      <c r="B22">
        <f>B18/B21</f>
        <v>1.7052214144084598E-2</v>
      </c>
      <c r="C22" t="s">
        <v>100</v>
      </c>
    </row>
    <row r="24" spans="1:4" x14ac:dyDescent="0.35">
      <c r="A24" t="s">
        <v>101</v>
      </c>
    </row>
    <row r="25" spans="1:4" ht="16.5" x14ac:dyDescent="0.45">
      <c r="A25" s="19" t="s">
        <v>110</v>
      </c>
      <c r="B25" s="20" t="s">
        <v>106</v>
      </c>
      <c r="D25" t="s">
        <v>108</v>
      </c>
    </row>
    <row r="26" spans="1:4" ht="16.5" x14ac:dyDescent="0.45">
      <c r="A26" s="19" t="s">
        <v>110</v>
      </c>
      <c r="B26" s="20" t="s">
        <v>107</v>
      </c>
      <c r="D26" t="s">
        <v>109</v>
      </c>
    </row>
    <row r="27" spans="1:4" x14ac:dyDescent="0.35">
      <c r="A27" s="13"/>
    </row>
    <row r="28" spans="1:4" x14ac:dyDescent="0.35">
      <c r="A28" t="s">
        <v>111</v>
      </c>
    </row>
    <row r="29" spans="1:4" s="22" customFormat="1" ht="18.5" customHeight="1" x14ac:dyDescent="0.35">
      <c r="A29" s="22" t="s">
        <v>112</v>
      </c>
      <c r="B29" s="22" t="s">
        <v>113</v>
      </c>
      <c r="C29" s="23"/>
    </row>
    <row r="34" spans="1:5" x14ac:dyDescent="0.35">
      <c r="A34" t="s">
        <v>115</v>
      </c>
      <c r="D34" t="s">
        <v>119</v>
      </c>
    </row>
    <row r="35" spans="1:5" ht="16.5" x14ac:dyDescent="0.45">
      <c r="A35" s="13" t="s">
        <v>116</v>
      </c>
      <c r="B35" t="s">
        <v>117</v>
      </c>
    </row>
    <row r="42" spans="1:5" x14ac:dyDescent="0.35">
      <c r="A42" t="s">
        <v>118</v>
      </c>
    </row>
    <row r="43" spans="1:5" ht="16.5" x14ac:dyDescent="0.35">
      <c r="A43" s="13" t="s">
        <v>120</v>
      </c>
      <c r="B43" s="22" t="s">
        <v>121</v>
      </c>
    </row>
    <row r="45" spans="1:5" x14ac:dyDescent="0.35">
      <c r="A45" t="s">
        <v>122</v>
      </c>
    </row>
    <row r="46" spans="1:5" x14ac:dyDescent="0.35">
      <c r="A46" s="13" t="s">
        <v>123</v>
      </c>
      <c r="B46" t="s">
        <v>124</v>
      </c>
      <c r="C46" t="s">
        <v>125</v>
      </c>
      <c r="E46" t="s">
        <v>126</v>
      </c>
    </row>
    <row r="47" spans="1:5" ht="16.5" x14ac:dyDescent="0.45">
      <c r="A47" s="13" t="s">
        <v>127</v>
      </c>
      <c r="B47" t="s">
        <v>128</v>
      </c>
      <c r="D47" t="s">
        <v>129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AEDC-3815-43BD-8232-0EE7637F8FBB}">
  <dimension ref="A11:E19"/>
  <sheetViews>
    <sheetView topLeftCell="A10" workbookViewId="0">
      <selection activeCell="F26" sqref="F26"/>
    </sheetView>
  </sheetViews>
  <sheetFormatPr baseColWidth="10" defaultRowHeight="14.5" x14ac:dyDescent="0.35"/>
  <cols>
    <col min="1" max="1" width="18.453125" style="4" bestFit="1" customWidth="1"/>
    <col min="2" max="2" width="4.1796875" bestFit="1" customWidth="1"/>
  </cols>
  <sheetData>
    <row r="11" spans="1:4" x14ac:dyDescent="0.35">
      <c r="A11" s="4" t="s">
        <v>9</v>
      </c>
    </row>
    <row r="13" spans="1:4" ht="16.5" x14ac:dyDescent="0.45">
      <c r="A13" s="4" t="s">
        <v>10</v>
      </c>
      <c r="B13" t="s">
        <v>6</v>
      </c>
      <c r="C13">
        <v>299</v>
      </c>
      <c r="D13" t="s">
        <v>0</v>
      </c>
    </row>
    <row r="14" spans="1:4" ht="16.5" x14ac:dyDescent="0.35">
      <c r="A14" s="4" t="s">
        <v>11</v>
      </c>
      <c r="B14" t="s">
        <v>5</v>
      </c>
      <c r="C14">
        <v>368</v>
      </c>
      <c r="D14" t="s">
        <v>2</v>
      </c>
    </row>
    <row r="15" spans="1:4" x14ac:dyDescent="0.35">
      <c r="A15" s="5" t="s">
        <v>12</v>
      </c>
      <c r="B15" s="2" t="s">
        <v>3</v>
      </c>
      <c r="C15" s="3">
        <f>C13/(C14*C16)</f>
        <v>0.23214285714285715</v>
      </c>
      <c r="D15" s="2" t="s">
        <v>7</v>
      </c>
    </row>
    <row r="16" spans="1:4" x14ac:dyDescent="0.35">
      <c r="A16" s="4" t="s">
        <v>13</v>
      </c>
      <c r="B16" t="s">
        <v>4</v>
      </c>
      <c r="C16">
        <f>(82-75)/2</f>
        <v>3.5</v>
      </c>
      <c r="D16" t="s">
        <v>8</v>
      </c>
    </row>
    <row r="18" spans="1:5" x14ac:dyDescent="0.35">
      <c r="A18" s="4" t="s">
        <v>130</v>
      </c>
      <c r="B18" t="s">
        <v>131</v>
      </c>
      <c r="C18" t="s">
        <v>135</v>
      </c>
      <c r="D18">
        <f>C13/4</f>
        <v>74.75</v>
      </c>
      <c r="E18" t="s">
        <v>45</v>
      </c>
    </row>
    <row r="19" spans="1:5" x14ac:dyDescent="0.35">
      <c r="A19" s="4" t="s">
        <v>132</v>
      </c>
      <c r="B19" t="s">
        <v>133</v>
      </c>
      <c r="C19" t="s">
        <v>134</v>
      </c>
      <c r="D19" s="1">
        <f>C13/3</f>
        <v>99.666666666666671</v>
      </c>
      <c r="E19" t="s">
        <v>45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BC57-439A-46DC-947A-F08C0837F9A2}">
  <dimension ref="A16:G22"/>
  <sheetViews>
    <sheetView workbookViewId="0">
      <selection activeCell="E16" sqref="E16"/>
    </sheetView>
  </sheetViews>
  <sheetFormatPr baseColWidth="10" defaultRowHeight="14.5" x14ac:dyDescent="0.35"/>
  <cols>
    <col min="1" max="1" width="18.453125" bestFit="1" customWidth="1"/>
  </cols>
  <sheetData>
    <row r="16" spans="1:6" ht="16.5" x14ac:dyDescent="0.35">
      <c r="A16" s="4" t="s">
        <v>10</v>
      </c>
      <c r="B16" s="24" t="s">
        <v>6</v>
      </c>
      <c r="C16">
        <f>C17*C18*C19</f>
        <v>67.2</v>
      </c>
      <c r="D16" t="s">
        <v>0</v>
      </c>
      <c r="E16">
        <f>C16*10</f>
        <v>672</v>
      </c>
      <c r="F16" t="s">
        <v>45</v>
      </c>
    </row>
    <row r="17" spans="1:7" ht="16.5" x14ac:dyDescent="0.35">
      <c r="A17" s="4" t="s">
        <v>11</v>
      </c>
      <c r="B17" s="24" t="s">
        <v>5</v>
      </c>
      <c r="C17">
        <v>112</v>
      </c>
      <c r="D17" t="s">
        <v>2</v>
      </c>
    </row>
    <row r="18" spans="1:7" s="7" customFormat="1" x14ac:dyDescent="0.35">
      <c r="A18" s="6" t="s">
        <v>12</v>
      </c>
      <c r="B18" s="25" t="s">
        <v>3</v>
      </c>
      <c r="C18" s="8">
        <v>0.12</v>
      </c>
      <c r="D18" s="7" t="s">
        <v>7</v>
      </c>
    </row>
    <row r="19" spans="1:7" x14ac:dyDescent="0.35">
      <c r="A19" s="4" t="s">
        <v>13</v>
      </c>
      <c r="B19" s="24" t="s">
        <v>4</v>
      </c>
      <c r="C19">
        <f>(90-80)/2</f>
        <v>5</v>
      </c>
      <c r="D19" t="s">
        <v>8</v>
      </c>
    </row>
    <row r="20" spans="1:7" x14ac:dyDescent="0.35">
      <c r="A20" s="4"/>
    </row>
    <row r="21" spans="1:7" x14ac:dyDescent="0.35">
      <c r="A21" s="4" t="s">
        <v>130</v>
      </c>
      <c r="B21" s="13" t="s">
        <v>131</v>
      </c>
      <c r="C21" t="s">
        <v>135</v>
      </c>
      <c r="D21">
        <f>C16/4</f>
        <v>16.8</v>
      </c>
      <c r="E21" t="s">
        <v>136</v>
      </c>
      <c r="F21">
        <f>D21*10</f>
        <v>168</v>
      </c>
      <c r="G21" t="s">
        <v>45</v>
      </c>
    </row>
    <row r="22" spans="1:7" x14ac:dyDescent="0.35">
      <c r="A22" s="4" t="s">
        <v>132</v>
      </c>
      <c r="B22" s="13" t="s">
        <v>133</v>
      </c>
      <c r="C22" t="s">
        <v>134</v>
      </c>
      <c r="D22" s="1">
        <f>C16/3</f>
        <v>22.400000000000002</v>
      </c>
      <c r="E22" t="s">
        <v>136</v>
      </c>
      <c r="F22">
        <f>D22*10</f>
        <v>224.00000000000003</v>
      </c>
      <c r="G22" t="s">
        <v>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3E69-2EA2-4326-8195-FDFD3ADF056E}">
  <dimension ref="A16:D36"/>
  <sheetViews>
    <sheetView topLeftCell="A19" workbookViewId="0">
      <selection activeCell="C33" sqref="C33"/>
    </sheetView>
  </sheetViews>
  <sheetFormatPr baseColWidth="10" defaultRowHeight="14.5" x14ac:dyDescent="0.35"/>
  <cols>
    <col min="1" max="1" width="18.453125" bestFit="1" customWidth="1"/>
    <col min="2" max="2" width="3.81640625" customWidth="1"/>
    <col min="3" max="3" width="11.81640625" bestFit="1" customWidth="1"/>
    <col min="4" max="4" width="8.08984375" customWidth="1"/>
  </cols>
  <sheetData>
    <row r="16" spans="1:3" ht="15" thickBot="1" x14ac:dyDescent="0.4">
      <c r="A16" s="9" t="s">
        <v>10</v>
      </c>
      <c r="B16" s="10" t="s">
        <v>15</v>
      </c>
      <c r="C16" s="10" t="s">
        <v>20</v>
      </c>
    </row>
    <row r="17" spans="1:4" ht="17" thickBot="1" x14ac:dyDescent="0.5">
      <c r="B17" s="26" t="s">
        <v>137</v>
      </c>
      <c r="C17" s="27">
        <f>C18*C19*C20</f>
        <v>570</v>
      </c>
      <c r="D17" s="28" t="s">
        <v>0</v>
      </c>
    </row>
    <row r="18" spans="1:4" s="7" customFormat="1" x14ac:dyDescent="0.35">
      <c r="A18" s="4" t="s">
        <v>11</v>
      </c>
      <c r="B18" t="s">
        <v>5</v>
      </c>
      <c r="C18">
        <v>228</v>
      </c>
      <c r="D18" t="s">
        <v>1</v>
      </c>
    </row>
    <row r="19" spans="1:4" x14ac:dyDescent="0.35">
      <c r="A19" s="6" t="s">
        <v>12</v>
      </c>
      <c r="B19" s="7" t="s">
        <v>3</v>
      </c>
      <c r="C19" s="8">
        <v>0.5</v>
      </c>
      <c r="D19" s="7" t="s">
        <v>7</v>
      </c>
    </row>
    <row r="20" spans="1:4" x14ac:dyDescent="0.35">
      <c r="A20" s="4" t="s">
        <v>13</v>
      </c>
      <c r="B20" t="s">
        <v>4</v>
      </c>
      <c r="C20">
        <f>(85-75)/2</f>
        <v>5</v>
      </c>
      <c r="D20" t="s">
        <v>8</v>
      </c>
    </row>
    <row r="21" spans="1:4" x14ac:dyDescent="0.35">
      <c r="A21" s="4"/>
    </row>
    <row r="22" spans="1:4" x14ac:dyDescent="0.35">
      <c r="A22" s="9" t="s">
        <v>14</v>
      </c>
      <c r="B22" s="10" t="s">
        <v>15</v>
      </c>
      <c r="C22" s="10" t="s">
        <v>16</v>
      </c>
    </row>
    <row r="23" spans="1:4" x14ac:dyDescent="0.35">
      <c r="A23" s="4" t="s">
        <v>17</v>
      </c>
      <c r="B23" t="s">
        <v>15</v>
      </c>
      <c r="C23" t="s">
        <v>18</v>
      </c>
      <c r="D23" t="s">
        <v>19</v>
      </c>
    </row>
    <row r="24" spans="1:4" x14ac:dyDescent="0.35">
      <c r="A24" s="4" t="s">
        <v>14</v>
      </c>
      <c r="C24">
        <f>C17*72</f>
        <v>41040</v>
      </c>
      <c r="D24" t="s">
        <v>21</v>
      </c>
    </row>
    <row r="25" spans="1:4" ht="15" thickBot="1" x14ac:dyDescent="0.4">
      <c r="A25" s="4" t="s">
        <v>14</v>
      </c>
      <c r="C25">
        <f>C24*(10/60)</f>
        <v>6840</v>
      </c>
      <c r="D25" t="s">
        <v>22</v>
      </c>
    </row>
    <row r="26" spans="1:4" s="20" customFormat="1" ht="15" thickBot="1" x14ac:dyDescent="0.4">
      <c r="A26" s="12" t="s">
        <v>14</v>
      </c>
      <c r="B26" s="27"/>
      <c r="C26" s="27">
        <f>C25/1000</f>
        <v>6.84</v>
      </c>
      <c r="D26" s="28" t="s">
        <v>23</v>
      </c>
    </row>
    <row r="29" spans="1:4" ht="15" thickBot="1" x14ac:dyDescent="0.4">
      <c r="A29" s="4"/>
    </row>
    <row r="30" spans="1:4" ht="15" thickBot="1" x14ac:dyDescent="0.4">
      <c r="A30" s="12" t="s">
        <v>24</v>
      </c>
      <c r="B30" s="11"/>
      <c r="C30" s="29">
        <f>C25/0.7</f>
        <v>9771.4285714285725</v>
      </c>
      <c r="D30" s="28" t="s">
        <v>22</v>
      </c>
    </row>
    <row r="31" spans="1:4" ht="15" thickBot="1" x14ac:dyDescent="0.4">
      <c r="A31" s="4"/>
      <c r="C31" s="1"/>
    </row>
    <row r="32" spans="1:4" ht="15" thickBot="1" x14ac:dyDescent="0.4">
      <c r="A32" s="12" t="s">
        <v>25</v>
      </c>
      <c r="B32" s="11"/>
      <c r="C32" s="29">
        <f>C30/0.9</f>
        <v>10857.142857142859</v>
      </c>
      <c r="D32" s="28" t="s">
        <v>22</v>
      </c>
    </row>
    <row r="33" spans="1:4" x14ac:dyDescent="0.35">
      <c r="C33" s="1">
        <f>C32/1000</f>
        <v>10.857142857142859</v>
      </c>
      <c r="D33" t="s">
        <v>23</v>
      </c>
    </row>
    <row r="35" spans="1:4" x14ac:dyDescent="0.35">
      <c r="A35" t="s">
        <v>26</v>
      </c>
    </row>
    <row r="36" spans="1:4" x14ac:dyDescent="0.35">
      <c r="A36" t="s">
        <v>28</v>
      </c>
      <c r="B36" t="s">
        <v>15</v>
      </c>
      <c r="C36" t="s">
        <v>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4664-389F-461D-B6BA-296FD1ADEEEB}">
  <dimension ref="A15:C17"/>
  <sheetViews>
    <sheetView workbookViewId="0">
      <selection activeCell="E16" sqref="E16"/>
    </sheetView>
  </sheetViews>
  <sheetFormatPr baseColWidth="10" defaultRowHeight="14.5" x14ac:dyDescent="0.35"/>
  <sheetData>
    <row r="15" spans="1:3" x14ac:dyDescent="0.35">
      <c r="A15" s="13" t="s">
        <v>138</v>
      </c>
      <c r="B15" s="1">
        <f>105*1000/(PI()*50)</f>
        <v>668.45076098596041</v>
      </c>
      <c r="C15" t="s">
        <v>49</v>
      </c>
    </row>
    <row r="16" spans="1:3" x14ac:dyDescent="0.35">
      <c r="A16" s="13" t="s">
        <v>139</v>
      </c>
      <c r="B16" s="1">
        <f>0.3*B15</f>
        <v>200.53522829578813</v>
      </c>
      <c r="C16" t="s">
        <v>141</v>
      </c>
    </row>
    <row r="17" spans="1:3" x14ac:dyDescent="0.35">
      <c r="A17" s="13" t="s">
        <v>140</v>
      </c>
      <c r="B17" s="1">
        <f>500/B16</f>
        <v>2.4933275028490423</v>
      </c>
      <c r="C17" t="s">
        <v>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DAEB-AA77-4A5D-8F84-51121B851B93}">
  <dimension ref="A18:F30"/>
  <sheetViews>
    <sheetView topLeftCell="A13" workbookViewId="0">
      <selection activeCell="G28" sqref="G28"/>
    </sheetView>
  </sheetViews>
  <sheetFormatPr baseColWidth="10" defaultRowHeight="14.5" x14ac:dyDescent="0.35"/>
  <cols>
    <col min="1" max="1" width="7.81640625" customWidth="1"/>
    <col min="4" max="4" width="12.90625" customWidth="1"/>
  </cols>
  <sheetData>
    <row r="18" spans="1:6" x14ac:dyDescent="0.35">
      <c r="A18" t="s">
        <v>143</v>
      </c>
    </row>
    <row r="20" spans="1:6" x14ac:dyDescent="0.35">
      <c r="A20" s="31">
        <v>0.6</v>
      </c>
      <c r="D20" t="s">
        <v>144</v>
      </c>
    </row>
    <row r="21" spans="1:6" x14ac:dyDescent="0.35">
      <c r="A21" s="30">
        <v>0.57499999999999996</v>
      </c>
    </row>
    <row r="22" spans="1:6" x14ac:dyDescent="0.35">
      <c r="D22" t="s">
        <v>145</v>
      </c>
      <c r="F22" t="s">
        <v>147</v>
      </c>
    </row>
    <row r="23" spans="1:6" x14ac:dyDescent="0.35">
      <c r="D23" t="s">
        <v>146</v>
      </c>
      <c r="F23" t="s">
        <v>148</v>
      </c>
    </row>
    <row r="25" spans="1:6" x14ac:dyDescent="0.35">
      <c r="D25" t="s">
        <v>149</v>
      </c>
    </row>
    <row r="26" spans="1:6" x14ac:dyDescent="0.35">
      <c r="D26">
        <f>40/110</f>
        <v>0.36363636363636365</v>
      </c>
      <c r="E26">
        <f>11/21</f>
        <v>0.52380952380952384</v>
      </c>
    </row>
    <row r="27" spans="1:6" x14ac:dyDescent="0.35">
      <c r="C27" s="14" t="s">
        <v>150</v>
      </c>
      <c r="D27" s="13" t="s">
        <v>151</v>
      </c>
      <c r="E27">
        <v>1.56</v>
      </c>
    </row>
    <row r="28" spans="1:6" x14ac:dyDescent="0.35">
      <c r="D28" s="13" t="s">
        <v>152</v>
      </c>
      <c r="E28" s="32">
        <f>40*(21^E27)</f>
        <v>4620.8523433512191</v>
      </c>
    </row>
    <row r="30" spans="1:6" x14ac:dyDescent="0.35">
      <c r="D30" s="13" t="s">
        <v>153</v>
      </c>
      <c r="E30" s="1">
        <f>POWER((E28/65),(1/E27))</f>
        <v>15.383561110009841</v>
      </c>
      <c r="F30" t="s">
        <v>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164B-611E-422B-8014-06CCA8DCE8D7}">
  <dimension ref="A1:E19"/>
  <sheetViews>
    <sheetView workbookViewId="0">
      <selection activeCell="F17" sqref="F17"/>
    </sheetView>
  </sheetViews>
  <sheetFormatPr baseColWidth="10" defaultRowHeight="14.5" x14ac:dyDescent="0.35"/>
  <cols>
    <col min="1" max="1" width="4.7265625" bestFit="1" customWidth="1"/>
    <col min="2" max="2" width="1.81640625" bestFit="1" customWidth="1"/>
    <col min="5" max="5" width="11.81640625" bestFit="1" customWidth="1"/>
  </cols>
  <sheetData>
    <row r="1" spans="1:5" s="20" customFormat="1" x14ac:dyDescent="0.35">
      <c r="A1" s="20" t="s">
        <v>142</v>
      </c>
    </row>
    <row r="2" spans="1:5" s="20" customFormat="1" x14ac:dyDescent="0.35"/>
    <row r="3" spans="1:5" s="20" customFormat="1" x14ac:dyDescent="0.35"/>
    <row r="4" spans="1:5" s="20" customFormat="1" x14ac:dyDescent="0.35"/>
    <row r="5" spans="1:5" s="20" customFormat="1" x14ac:dyDescent="0.35"/>
    <row r="6" spans="1:5" s="20" customFormat="1" x14ac:dyDescent="0.35"/>
    <row r="7" spans="1:5" s="20" customFormat="1" x14ac:dyDescent="0.35"/>
    <row r="8" spans="1:5" s="20" customFormat="1" x14ac:dyDescent="0.35"/>
    <row r="9" spans="1:5" s="20" customFormat="1" x14ac:dyDescent="0.35"/>
    <row r="10" spans="1:5" s="20" customFormat="1" x14ac:dyDescent="0.35"/>
    <row r="11" spans="1:5" s="20" customFormat="1" x14ac:dyDescent="0.35"/>
    <row r="12" spans="1:5" s="20" customFormat="1" x14ac:dyDescent="0.35"/>
    <row r="13" spans="1:5" x14ac:dyDescent="0.35">
      <c r="A13" t="s">
        <v>5</v>
      </c>
      <c r="B13" t="s">
        <v>15</v>
      </c>
      <c r="C13">
        <v>1</v>
      </c>
    </row>
    <row r="14" spans="1:5" x14ac:dyDescent="0.35">
      <c r="A14" t="s">
        <v>30</v>
      </c>
      <c r="B14" t="s">
        <v>15</v>
      </c>
      <c r="C14">
        <v>2</v>
      </c>
    </row>
    <row r="15" spans="1:5" x14ac:dyDescent="0.35">
      <c r="A15" t="s">
        <v>3</v>
      </c>
      <c r="B15" t="s">
        <v>15</v>
      </c>
      <c r="C15">
        <v>3</v>
      </c>
      <c r="E15">
        <f>C13/((C14^(C17))*((C15^(C18)))*((C16^(C19))))</f>
        <v>2.6163904428155005E-9</v>
      </c>
    </row>
    <row r="16" spans="1:5" x14ac:dyDescent="0.35">
      <c r="A16" t="s">
        <v>4</v>
      </c>
      <c r="B16" t="s">
        <v>15</v>
      </c>
      <c r="C16">
        <v>4</v>
      </c>
    </row>
    <row r="17" spans="1:3" x14ac:dyDescent="0.35">
      <c r="A17" t="s">
        <v>31</v>
      </c>
      <c r="B17" t="s">
        <v>15</v>
      </c>
      <c r="C17">
        <v>5</v>
      </c>
    </row>
    <row r="18" spans="1:3" x14ac:dyDescent="0.35">
      <c r="A18" t="s">
        <v>32</v>
      </c>
      <c r="B18" t="s">
        <v>15</v>
      </c>
      <c r="C18">
        <v>6</v>
      </c>
    </row>
    <row r="19" spans="1:3" x14ac:dyDescent="0.35">
      <c r="A19" t="s">
        <v>33</v>
      </c>
      <c r="B19" t="s">
        <v>15</v>
      </c>
      <c r="C19">
        <v>7</v>
      </c>
    </row>
  </sheetData>
  <phoneticPr fontId="4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4A6C-ECF8-43C9-8187-B8FE3A047F77}">
  <dimension ref="A1:F22"/>
  <sheetViews>
    <sheetView tabSelected="1" topLeftCell="A7" workbookViewId="0">
      <selection activeCell="G18" sqref="G18"/>
    </sheetView>
  </sheetViews>
  <sheetFormatPr baseColWidth="10" defaultRowHeight="14.5" x14ac:dyDescent="0.35"/>
  <cols>
    <col min="2" max="2" width="1.81640625" bestFit="1" customWidth="1"/>
    <col min="5" max="5" width="7.90625" customWidth="1"/>
  </cols>
  <sheetData>
    <row r="1" spans="1:5" x14ac:dyDescent="0.35">
      <c r="A1" t="s">
        <v>38</v>
      </c>
      <c r="D1" t="s">
        <v>43</v>
      </c>
    </row>
    <row r="2" spans="1:5" x14ac:dyDescent="0.35">
      <c r="A2" t="s">
        <v>34</v>
      </c>
      <c r="D2" t="s">
        <v>44</v>
      </c>
      <c r="E2">
        <f>(E3+2*E4)/E5</f>
        <v>3</v>
      </c>
    </row>
    <row r="3" spans="1:5" x14ac:dyDescent="0.35">
      <c r="A3" t="s">
        <v>35</v>
      </c>
      <c r="B3">
        <f>SQRT((B4*(B5-B4)))</f>
        <v>1</v>
      </c>
      <c r="D3" t="s">
        <v>40</v>
      </c>
      <c r="E3">
        <v>1</v>
      </c>
    </row>
    <row r="4" spans="1:5" x14ac:dyDescent="0.35">
      <c r="A4" t="s">
        <v>37</v>
      </c>
      <c r="B4">
        <v>1</v>
      </c>
      <c r="D4" t="s">
        <v>41</v>
      </c>
      <c r="E4">
        <f>B3</f>
        <v>1</v>
      </c>
    </row>
    <row r="5" spans="1:5" x14ac:dyDescent="0.35">
      <c r="A5" t="s">
        <v>36</v>
      </c>
      <c r="B5">
        <v>2</v>
      </c>
      <c r="D5" t="s">
        <v>42</v>
      </c>
      <c r="E5">
        <v>1</v>
      </c>
    </row>
    <row r="8" spans="1:5" x14ac:dyDescent="0.35">
      <c r="A8" t="s">
        <v>39</v>
      </c>
      <c r="D8" t="s">
        <v>43</v>
      </c>
    </row>
    <row r="9" spans="1:5" x14ac:dyDescent="0.35">
      <c r="A9" t="s">
        <v>41</v>
      </c>
      <c r="B9">
        <f>B10/2</f>
        <v>2</v>
      </c>
      <c r="D9" t="s">
        <v>44</v>
      </c>
      <c r="E9">
        <f>(E10+2*E11)/E12</f>
        <v>6.4332955363613511</v>
      </c>
    </row>
    <row r="10" spans="1:5" x14ac:dyDescent="0.35">
      <c r="A10" t="s">
        <v>36</v>
      </c>
      <c r="B10">
        <v>4</v>
      </c>
      <c r="D10" t="s">
        <v>40</v>
      </c>
      <c r="E10">
        <v>12</v>
      </c>
    </row>
    <row r="11" spans="1:5" x14ac:dyDescent="0.35">
      <c r="D11" t="s">
        <v>41</v>
      </c>
      <c r="E11">
        <v>2</v>
      </c>
    </row>
    <row r="12" spans="1:5" x14ac:dyDescent="0.35">
      <c r="D12" t="s">
        <v>42</v>
      </c>
      <c r="E12">
        <f>F22</f>
        <v>2.4870612440493511</v>
      </c>
    </row>
    <row r="17" spans="3:6" x14ac:dyDescent="0.35">
      <c r="C17">
        <v>586</v>
      </c>
    </row>
    <row r="18" spans="3:6" x14ac:dyDescent="0.35">
      <c r="D18">
        <v>3</v>
      </c>
    </row>
    <row r="19" spans="3:6" x14ac:dyDescent="0.35">
      <c r="D19">
        <f>PI()</f>
        <v>3.1415926535897931</v>
      </c>
    </row>
    <row r="21" spans="3:6" x14ac:dyDescent="0.35">
      <c r="C21">
        <f>C17/(D18*D19)</f>
        <v>62.176531101233778</v>
      </c>
      <c r="D21">
        <v>4</v>
      </c>
      <c r="F21">
        <v>0.01</v>
      </c>
    </row>
    <row r="22" spans="3:6" x14ac:dyDescent="0.35">
      <c r="F22">
        <f>C21*D21*F21</f>
        <v>2.4870612440493511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A7186-5275-4A10-BD81-78447A66DDC6}">
  <dimension ref="A16:E47"/>
  <sheetViews>
    <sheetView topLeftCell="A37" workbookViewId="0">
      <selection activeCell="E39" sqref="E39"/>
    </sheetView>
  </sheetViews>
  <sheetFormatPr baseColWidth="10" defaultRowHeight="14.5" x14ac:dyDescent="0.35"/>
  <cols>
    <col min="1" max="1" width="8" bestFit="1" customWidth="1"/>
  </cols>
  <sheetData>
    <row r="16" spans="1:5" x14ac:dyDescent="0.35">
      <c r="A16" s="33" t="s">
        <v>154</v>
      </c>
      <c r="B16" s="33">
        <f>B21*((B17*B18)/B19)</f>
        <v>57.599999999999994</v>
      </c>
      <c r="C16" s="33" t="s">
        <v>0</v>
      </c>
      <c r="D16" s="33">
        <f>B16*10</f>
        <v>576</v>
      </c>
      <c r="E16" s="33" t="s">
        <v>45</v>
      </c>
    </row>
    <row r="17" spans="1:4" x14ac:dyDescent="0.35">
      <c r="A17" t="s">
        <v>169</v>
      </c>
      <c r="B17">
        <f>2*B22*B23</f>
        <v>763943.7268410977</v>
      </c>
    </row>
    <row r="18" spans="1:4" x14ac:dyDescent="0.35">
      <c r="A18" t="s">
        <v>168</v>
      </c>
      <c r="B18">
        <f>SQRT(B24*(B25-B24))</f>
        <v>15</v>
      </c>
    </row>
    <row r="19" spans="1:4" x14ac:dyDescent="0.35">
      <c r="A19" t="s">
        <v>170</v>
      </c>
      <c r="B19">
        <f>B26*B25*B31</f>
        <v>15915494.309189536</v>
      </c>
    </row>
    <row r="21" spans="1:4" x14ac:dyDescent="0.35">
      <c r="A21" t="s">
        <v>155</v>
      </c>
      <c r="B21">
        <v>80</v>
      </c>
      <c r="C21" t="s">
        <v>1</v>
      </c>
      <c r="D21" t="s">
        <v>48</v>
      </c>
    </row>
    <row r="22" spans="1:4" x14ac:dyDescent="0.35">
      <c r="A22" t="s">
        <v>156</v>
      </c>
      <c r="B22" s="1">
        <f>B27*B31*B26</f>
        <v>63661.977236758139</v>
      </c>
    </row>
    <row r="23" spans="1:4" x14ac:dyDescent="0.35">
      <c r="A23" t="s">
        <v>157</v>
      </c>
      <c r="B23">
        <v>6</v>
      </c>
      <c r="C23" t="s">
        <v>8</v>
      </c>
    </row>
    <row r="24" spans="1:4" x14ac:dyDescent="0.35">
      <c r="A24" t="s">
        <v>158</v>
      </c>
      <c r="B24">
        <v>5</v>
      </c>
      <c r="C24" t="s">
        <v>8</v>
      </c>
    </row>
    <row r="25" spans="1:4" x14ac:dyDescent="0.35">
      <c r="A25" t="s">
        <v>159</v>
      </c>
      <c r="B25">
        <v>50</v>
      </c>
      <c r="C25" t="s">
        <v>8</v>
      </c>
    </row>
    <row r="26" spans="1:4" x14ac:dyDescent="0.35">
      <c r="A26" t="s">
        <v>160</v>
      </c>
      <c r="B26">
        <v>10</v>
      </c>
      <c r="C26" t="s">
        <v>47</v>
      </c>
    </row>
    <row r="27" spans="1:4" x14ac:dyDescent="0.35">
      <c r="A27" t="s">
        <v>161</v>
      </c>
      <c r="B27">
        <v>0.2</v>
      </c>
      <c r="C27" t="s">
        <v>8</v>
      </c>
    </row>
    <row r="30" spans="1:4" x14ac:dyDescent="0.35">
      <c r="A30" t="s">
        <v>162</v>
      </c>
      <c r="B30">
        <v>5</v>
      </c>
      <c r="C30" t="s">
        <v>46</v>
      </c>
    </row>
    <row r="31" spans="1:4" x14ac:dyDescent="0.35">
      <c r="A31" t="s">
        <v>138</v>
      </c>
      <c r="B31" s="1">
        <f>(1000*B30)/(PI()*(B25/1000))</f>
        <v>31830.98861837907</v>
      </c>
      <c r="C31" t="s">
        <v>49</v>
      </c>
    </row>
    <row r="35" spans="1:4" ht="16.5" x14ac:dyDescent="0.45">
      <c r="A35" t="s">
        <v>163</v>
      </c>
      <c r="B35">
        <f>D16*B30</f>
        <v>2880</v>
      </c>
      <c r="C35" t="s">
        <v>164</v>
      </c>
    </row>
    <row r="36" spans="1:4" ht="16.5" x14ac:dyDescent="0.45">
      <c r="A36" s="33" t="s">
        <v>163</v>
      </c>
      <c r="B36" s="33">
        <f>B35/60</f>
        <v>48</v>
      </c>
      <c r="C36" s="33" t="s">
        <v>165</v>
      </c>
      <c r="D36" s="33" t="s">
        <v>22</v>
      </c>
    </row>
    <row r="39" spans="1:4" ht="16.5" x14ac:dyDescent="0.45">
      <c r="A39" s="33" t="s">
        <v>166</v>
      </c>
      <c r="B39" s="34">
        <f>B36/0.9</f>
        <v>53.333333333333329</v>
      </c>
      <c r="C39" s="33" t="s">
        <v>22</v>
      </c>
    </row>
    <row r="41" spans="1:4" x14ac:dyDescent="0.35">
      <c r="A41" t="s">
        <v>167</v>
      </c>
    </row>
    <row r="46" spans="1:4" x14ac:dyDescent="0.35">
      <c r="A46" s="13" t="s">
        <v>139</v>
      </c>
      <c r="B46">
        <f>B27*B26</f>
        <v>2</v>
      </c>
    </row>
    <row r="47" spans="1:4" ht="16.5" x14ac:dyDescent="0.45">
      <c r="A47" s="35" t="s">
        <v>171</v>
      </c>
      <c r="B47" s="33">
        <f>(200+2*B18)/B46</f>
        <v>115</v>
      </c>
      <c r="C47" s="33" t="s">
        <v>29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Laminado</vt:lpstr>
      <vt:lpstr>Extrusión</vt:lpstr>
      <vt:lpstr>Extrusión2</vt:lpstr>
      <vt:lpstr>Costo de soldadura</vt:lpstr>
      <vt:lpstr>Ej1 - Torno</vt:lpstr>
      <vt:lpstr>Ej2 - Torno</vt:lpstr>
      <vt:lpstr>Ej3 - Torno</vt:lpstr>
      <vt:lpstr>Ej4 - Torno</vt:lpstr>
      <vt:lpstr>Vida de la herr</vt:lpstr>
      <vt:lpstr>26.10</vt:lpstr>
      <vt:lpstr>Fresado tangencial - frontal</vt:lpstr>
      <vt:lpstr>Fresado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Perla Siri Silva Ramos</dc:creator>
  <cp:lastModifiedBy>Perla Siri Silva Ramos</cp:lastModifiedBy>
  <dcterms:created xsi:type="dcterms:W3CDTF">2021-10-21T21:55:12Z</dcterms:created>
  <dcterms:modified xsi:type="dcterms:W3CDTF">2021-11-18T21:35:56Z</dcterms:modified>
</cp:coreProperties>
</file>