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ushless" sheetId="1" r:id="rId4"/>
    <sheet state="visible" name="Step f" sheetId="2" r:id="rId5"/>
    <sheet state="visible" name="Step loss" sheetId="3" r:id="rId6"/>
    <sheet state="visible" name="DC" sheetId="4" r:id="rId7"/>
  </sheets>
  <definedNames/>
  <calcPr/>
</workbook>
</file>

<file path=xl/sharedStrings.xml><?xml version="1.0" encoding="utf-8"?>
<sst xmlns="http://schemas.openxmlformats.org/spreadsheetml/2006/main" count="137" uniqueCount="79">
  <si>
    <t>rpm</t>
  </si>
  <si>
    <t>ความถี่</t>
  </si>
  <si>
    <t>ครั้งที่ 1</t>
  </si>
  <si>
    <t>ครั้งที่ 2</t>
  </si>
  <si>
    <t>ครั้งที่ 3</t>
  </si>
  <si>
    <t>ครั้งที่ 4</t>
  </si>
  <si>
    <t>ครั้งที่ 5</t>
  </si>
  <si>
    <t>ครั้งที่ 16</t>
  </si>
  <si>
    <t>Mean</t>
  </si>
  <si>
    <t>f คำนวณ</t>
  </si>
  <si>
    <t>error %</t>
  </si>
  <si>
    <t>- เมื่อความเร็วรอบเปลี่ยนแปลง จะส่งผลให้ความถี่ของลูกคลื่น และ Duty cycle เกิดการเปลี่ยนแปลงแบบผันตรงกับความเร็วรอบ</t>
  </si>
  <si>
    <t>- แรงดันไฟฟ้าที่จ่ายให้กับมอเตอร์จะมีค่าคงคงที่ แม้ว่าความเร็วรอบจะเกิดการเปลี่ยนแปลง</t>
  </si>
  <si>
    <t>V</t>
  </si>
  <si>
    <t>full (kHz)</t>
  </si>
  <si>
    <t>on (kHz)</t>
  </si>
  <si>
    <t>T full</t>
  </si>
  <si>
    <t>T on</t>
  </si>
  <si>
    <t>Duty Cycle (%)</t>
  </si>
  <si>
    <t>Stepper</t>
  </si>
  <si>
    <t>เก็บแต่ละ mode ที่ความถี่ 100 500 1000</t>
  </si>
  <si>
    <t>100 Hz</t>
  </si>
  <si>
    <t>รวม</t>
  </si>
  <si>
    <t>Step</t>
  </si>
  <si>
    <t>rad/s at 100 Hz</t>
  </si>
  <si>
    <t>rad/s at 500 Hz</t>
  </si>
  <si>
    <t>rad/s at 1000 Hz</t>
  </si>
  <si>
    <t>1/32</t>
  </si>
  <si>
    <t>1/16</t>
  </si>
  <si>
    <t>1/8</t>
  </si>
  <si>
    <t>1/4</t>
  </si>
  <si>
    <t>1/2</t>
  </si>
  <si>
    <t>1</t>
  </si>
  <si>
    <t>500 Hz</t>
  </si>
  <si>
    <t>1000 Hz</t>
  </si>
  <si>
    <t>step mode</t>
  </si>
  <si>
    <t>ความถี่  (+100 Hz)</t>
  </si>
  <si>
    <t>ความถี่ (+1000 Hz)</t>
  </si>
  <si>
    <t>ความถี่ (+2000 Hz)</t>
  </si>
  <si>
    <t>DC ตัวเล็ก</t>
  </si>
  <si>
    <t>HG37-060-AA-00</t>
  </si>
  <si>
    <t>w</t>
  </si>
  <si>
    <t>ทดสอบค่าละ 10 ครั้ง</t>
  </si>
  <si>
    <t>Kt = rate torque / rate current</t>
  </si>
  <si>
    <t>loadcell offset</t>
  </si>
  <si>
    <t>Kt = 196 / 280 = 0.7</t>
  </si>
  <si>
    <t>ไม่ต่อก้าน</t>
  </si>
  <si>
    <t>ไม่กด Loadcell</t>
  </si>
  <si>
    <t>no load</t>
  </si>
  <si>
    <t>ทดลอง Stall Torque</t>
  </si>
  <si>
    <t>ใช้ realload ได้เลย</t>
  </si>
  <si>
    <t>ทอลองใน PWM ต่าง ๆ เพื่อดูการเปลี่ยนแปลงของ rad/s, wcs, พฤติกรรม</t>
  </si>
  <si>
    <t>PWM</t>
  </si>
  <si>
    <t>f</t>
  </si>
  <si>
    <t>loadcell</t>
  </si>
  <si>
    <t>real load</t>
  </si>
  <si>
    <t>F (แรงกดจากก้าน)</t>
  </si>
  <si>
    <t>Stall Torque</t>
  </si>
  <si>
    <t>Stall Current</t>
  </si>
  <si>
    <t>Pin /Pmax</t>
  </si>
  <si>
    <t>Pout</t>
  </si>
  <si>
    <t>efficiency</t>
  </si>
  <si>
    <t>%</t>
  </si>
  <si>
    <t>ความเร็วรอบ</t>
  </si>
  <si>
    <t>ABS ความเร็วรอบ</t>
  </si>
  <si>
    <t>wcs(current)</t>
  </si>
  <si>
    <t>พฤติกรรมมอเตอร์</t>
  </si>
  <si>
    <t>Torque</t>
  </si>
  <si>
    <t>Power (Pin)</t>
  </si>
  <si>
    <t>%eff</t>
  </si>
  <si>
    <t>ไม่หมุน</t>
  </si>
  <si>
    <t>หมุน</t>
  </si>
  <si>
    <t>ทดลองว่าความถี่มีผลต่อแรงที่กระทำต่อ Loadcell หรือไม่</t>
  </si>
  <si>
    <t>Current</t>
  </si>
  <si>
    <t>-</t>
  </si>
  <si>
    <t>torque set point</t>
  </si>
  <si>
    <t>เปลี่ยนค่าแล้ว แต่ความเร็วมอเตอร์ยังเท่าเดิม</t>
  </si>
  <si>
    <t>แต่เปลี่ยนทิศได้</t>
  </si>
  <si>
    <t>ปรับความถี่ก็ไม่ส่งผลแรงที่กดต่อ loadcell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</si>
</sst>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d/m"/>
  </numFmts>
  <fonts count="6">
    <font>
      <sz val="10.0"/>
      <color rgb="FF000000"/>
      <name val="Arial"/>
      <scheme val="minor"/>
    </font>
    <font>
      <sz val="11.0"/>
      <color rgb="FF000000"/>
      <name val="Tahoma"/>
    </font>
    <font>
      <color theme="1"/>
      <name val="Arial"/>
      <scheme val="minor"/>
    </font>
    <font>
      <sz val="11.0"/>
      <color theme="1"/>
      <name val="Calibri"/>
    </font>
    <font>
      <sz val="11.0"/>
      <color rgb="FF1F1F1F"/>
      <name val="&quot;Noto Sans&quot;"/>
    </font>
    <font>
      <color rgb="FFFFF2CC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7C7AC"/>
        <bgColor rgb="FFF7C7AC"/>
      </patternFill>
    </fill>
    <fill>
      <patternFill patternType="solid">
        <fgColor rgb="FFFBE2D5"/>
        <bgColor rgb="FFFBE2D5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0" fillId="3" fontId="1" numFmtId="4" xfId="0" applyAlignment="1" applyFill="1" applyFont="1" applyNumberFormat="1">
      <alignment horizontal="right" readingOrder="0" shrinkToFit="0" vertical="bottom" wrapText="0"/>
    </xf>
    <xf borderId="0" fillId="0" fontId="2" numFmtId="2" xfId="0" applyFont="1" applyNumberFormat="1"/>
    <xf borderId="0" fillId="0" fontId="1" numFmtId="2" xfId="0" applyAlignment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2" xfId="0" applyAlignment="1" applyFont="1" applyNumberFormat="1">
      <alignment readingOrder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 shrinkToFit="0" vertical="bottom" wrapText="0"/>
    </xf>
    <xf borderId="0" fillId="4" fontId="1" numFmtId="0" xfId="0" applyAlignment="1" applyFill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4" fontId="1" numFmtId="2" xfId="0" applyAlignment="1" applyFont="1" applyNumberFormat="1">
      <alignment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5" fontId="2" numFmtId="165" xfId="0" applyAlignment="1" applyFill="1" applyFont="1" applyNumberFormat="1">
      <alignment readingOrder="0"/>
    </xf>
    <xf borderId="0" fillId="5" fontId="2" numFmtId="0" xfId="0" applyAlignment="1" applyFon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49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4" fontId="2" numFmtId="0" xfId="0" applyAlignment="1" applyFont="1">
      <alignment readingOrder="0"/>
    </xf>
    <xf borderId="0" fillId="7" fontId="5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5" fontId="2" numFmtId="0" xfId="0" applyFont="1"/>
    <xf borderId="0" fillId="5" fontId="5" numFmtId="0" xfId="0" applyAlignment="1" applyFont="1">
      <alignment readingOrder="0"/>
    </xf>
    <xf borderId="0" fillId="4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 RPM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Brushless!$A$3:$A$23</c:f>
            </c:strRef>
          </c:cat>
          <c:val>
            <c:numRef>
              <c:f>Brushless!$H$3:$H$23</c:f>
              <c:numCache/>
            </c:numRef>
          </c:val>
          <c:smooth val="0"/>
        </c:ser>
        <c:axId val="1419446144"/>
        <c:axId val="1482362528"/>
      </c:lineChart>
      <c:catAx>
        <c:axId val="14194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362528"/>
      </c:catAx>
      <c:valAx>
        <c:axId val="1482362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ความถี่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446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'Step loss'!$D$3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loss'!$A$4:$A$9</c:f>
            </c:strRef>
          </c:cat>
          <c:val>
            <c:numRef>
              <c:f>'Step loss'!$D$4:$D$9</c:f>
              <c:numCache/>
            </c:numRef>
          </c:val>
          <c:smooth val="0"/>
        </c:ser>
        <c:axId val="1355146343"/>
        <c:axId val="657597350"/>
      </c:lineChart>
      <c:catAx>
        <c:axId val="1355146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597350"/>
      </c:catAx>
      <c:valAx>
        <c:axId val="657597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ความถี่ ( 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146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loadcell กับ torque set point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DC!$B$26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DC!$A$27:$A$32</c:f>
            </c:strRef>
          </c:cat>
          <c:val>
            <c:numRef>
              <c:f>DC!$B$27:$B$32</c:f>
              <c:numCache/>
            </c:numRef>
          </c:val>
          <c:smooth val="0"/>
        </c:ser>
        <c:axId val="859654023"/>
        <c:axId val="1540113856"/>
      </c:lineChart>
      <c:catAx>
        <c:axId val="859654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set 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113856"/>
      </c:catAx>
      <c:valAx>
        <c:axId val="1540113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loadcell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654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PWM และ มอเตอร์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DC!$M$5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DC!$Q$6:$Q$15</c:f>
            </c:strRef>
          </c:cat>
          <c:val>
            <c:numRef>
              <c:f>DC!$M$6:$M$15</c:f>
              <c:numCache/>
            </c:numRef>
          </c:val>
          <c:smooth val="0"/>
        </c:ser>
        <c:axId val="1424356839"/>
        <c:axId val="1889728286"/>
      </c:lineChart>
      <c:catAx>
        <c:axId val="1424356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มอเตอร์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728286"/>
      </c:catAx>
      <c:valAx>
        <c:axId val="1889728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PWM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356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Duty Cycle vs RPM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Brushless!$J$28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Brushless!$E$29:$E$47</c:f>
            </c:strRef>
          </c:cat>
          <c:val>
            <c:numRef>
              <c:f>Brushless!$J$29:$J$47</c:f>
              <c:numCache/>
            </c:numRef>
          </c:val>
          <c:smooth val="0"/>
        </c:ser>
        <c:axId val="573359703"/>
        <c:axId val="50423887"/>
      </c:lineChart>
      <c:catAx>
        <c:axId val="573359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23887"/>
      </c:catAx>
      <c:valAx>
        <c:axId val="50423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Duty Cycle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359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rad/s กับ Step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f'!$A$6:$A$11</c:f>
            </c:strRef>
          </c:cat>
          <c:val>
            <c:numRef>
              <c:f>'Step f'!$B$6:$B$11</c:f>
              <c:numCache/>
            </c:numRef>
          </c:val>
          <c:smooth val="0"/>
        </c:ser>
        <c:axId val="1457482050"/>
        <c:axId val="27436205"/>
      </c:lineChart>
      <c:catAx>
        <c:axId val="1457482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36205"/>
      </c:catAx>
      <c:valAx>
        <c:axId val="27436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rad/s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482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rad/s กับ Step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'Step f'!$B$14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'Step f'!$A$15:$A$20</c:f>
            </c:strRef>
          </c:cat>
          <c:val>
            <c:numRef>
              <c:f>'Step f'!$B$15:$B$20</c:f>
              <c:numCache/>
            </c:numRef>
          </c:val>
          <c:smooth val="0"/>
        </c:ser>
        <c:axId val="1631384983"/>
        <c:axId val="1719843607"/>
      </c:lineChart>
      <c:catAx>
        <c:axId val="1631384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843607"/>
      </c:catAx>
      <c:valAx>
        <c:axId val="1719843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rad/s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384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rad/s กับ Step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'Step f'!$B$23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'Step f'!$A$24:$A$29</c:f>
            </c:strRef>
          </c:cat>
          <c:val>
            <c:numRef>
              <c:f>'Step f'!$B$24:$B$29</c:f>
              <c:numCache/>
            </c:numRef>
          </c:val>
          <c:smooth val="0"/>
        </c:ser>
        <c:axId val="608131163"/>
        <c:axId val="2118661791"/>
      </c:lineChart>
      <c:catAx>
        <c:axId val="608131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661791"/>
      </c:catAx>
      <c:valAx>
        <c:axId val="2118661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rad/s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131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'Step f'!$I$5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f'!$H$6:$H$11</c:f>
            </c:strRef>
          </c:cat>
          <c:val>
            <c:numRef>
              <c:f>'Step f'!$I$6:$I$11</c:f>
              <c:numCache/>
            </c:numRef>
          </c:val>
          <c:smooth val="0"/>
        </c:ser>
        <c:ser>
          <c:idx val="1"/>
          <c:order val="1"/>
          <c:tx>
            <c:strRef>
              <c:f>'Step f'!$J$5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'Step f'!$H$6:$H$11</c:f>
            </c:strRef>
          </c:cat>
          <c:val>
            <c:numRef>
              <c:f>'Step f'!$J$6:$J$11</c:f>
              <c:numCache/>
            </c:numRef>
          </c:val>
          <c:smooth val="0"/>
        </c:ser>
        <c:ser>
          <c:idx val="2"/>
          <c:order val="2"/>
          <c:tx>
            <c:strRef>
              <c:f>'Step f'!$K$5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'Step f'!$H$6:$H$11</c:f>
            </c:strRef>
          </c:cat>
          <c:val>
            <c:numRef>
              <c:f>'Step f'!$K$6:$K$11</c:f>
              <c:numCache/>
            </c:numRef>
          </c:val>
          <c:smooth val="0"/>
        </c:ser>
        <c:axId val="1036817488"/>
        <c:axId val="934803381"/>
      </c:lineChart>
      <c:catAx>
        <c:axId val="103681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803381"/>
      </c:catAx>
      <c:valAx>
        <c:axId val="934803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817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'Step loss'!$B$3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loss'!$A$4:$A$9</c:f>
            </c:strRef>
          </c:cat>
          <c:val>
            <c:numRef>
              <c:f>'Step loss'!$B$4:$B$9</c:f>
              <c:numCache/>
            </c:numRef>
          </c:val>
          <c:smooth val="0"/>
        </c:ser>
        <c:ser>
          <c:idx val="1"/>
          <c:order val="1"/>
          <c:tx>
            <c:strRef>
              <c:f>'Step loss'!$C$3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'Step loss'!$A$4:$A$9</c:f>
            </c:strRef>
          </c:cat>
          <c:val>
            <c:numRef>
              <c:f>'Step loss'!$C$4:$C$9</c:f>
              <c:numCache/>
            </c:numRef>
          </c:val>
          <c:smooth val="0"/>
        </c:ser>
        <c:ser>
          <c:idx val="2"/>
          <c:order val="2"/>
          <c:tx>
            <c:strRef>
              <c:f>'Step loss'!$D$3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'Step loss'!$A$4:$A$9</c:f>
            </c:strRef>
          </c:cat>
          <c:val>
            <c:numRef>
              <c:f>'Step loss'!$D$4:$D$9</c:f>
              <c:numCache/>
            </c:numRef>
          </c:val>
          <c:smooth val="0"/>
        </c:ser>
        <c:axId val="230836324"/>
        <c:axId val="1060941344"/>
      </c:lineChart>
      <c:catAx>
        <c:axId val="230836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941344"/>
      </c:catAx>
      <c:valAx>
        <c:axId val="1060941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836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'Step loss'!$B$3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loss'!$A$4:$A$9</c:f>
            </c:strRef>
          </c:cat>
          <c:val>
            <c:numRef>
              <c:f>'Step loss'!$B$4:$B$9</c:f>
              <c:numCache/>
            </c:numRef>
          </c:val>
          <c:smooth val="0"/>
        </c:ser>
        <c:axId val="2140701110"/>
        <c:axId val="58881248"/>
      </c:lineChart>
      <c:catAx>
        <c:axId val="2140701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81248"/>
      </c:catAx>
      <c:valAx>
        <c:axId val="58881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ความถี่ 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701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'Step loss'!$C$3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'Step loss'!$A$4:$A$9</c:f>
            </c:strRef>
          </c:cat>
          <c:val>
            <c:numRef>
              <c:f>'Step loss'!$C$4:$C$9</c:f>
              <c:numCache/>
            </c:numRef>
          </c:val>
          <c:smooth val="0"/>
        </c:ser>
        <c:axId val="1632493067"/>
        <c:axId val="637537980"/>
      </c:lineChart>
      <c:catAx>
        <c:axId val="1632493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537980"/>
      </c:catAx>
      <c:valAx>
        <c:axId val="637537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ความถี่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493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962025</xdr:colOff>
      <xdr:row>0</xdr:row>
      <xdr:rowOff>152400</xdr:rowOff>
    </xdr:from>
    <xdr:ext cx="5715000" cy="35337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628650</xdr:colOff>
      <xdr:row>26</xdr:row>
      <xdr:rowOff>190500</xdr:rowOff>
    </xdr:from>
    <xdr:ext cx="6753225" cy="4181475"/>
    <xdr:graphicFrame>
      <xdr:nvGraphicFramePr>
        <xdr:cNvPr id="2" name="Chart 2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1</xdr:row>
      <xdr:rowOff>180975</xdr:rowOff>
    </xdr:from>
    <xdr:ext cx="3333750" cy="2066925"/>
    <xdr:graphicFrame>
      <xdr:nvGraphicFramePr>
        <xdr:cNvPr id="3" name="Chart 3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276225</xdr:colOff>
      <xdr:row>12</xdr:row>
      <xdr:rowOff>133350</xdr:rowOff>
    </xdr:from>
    <xdr:ext cx="3333750" cy="2066925"/>
    <xdr:graphicFrame>
      <xdr:nvGraphicFramePr>
        <xdr:cNvPr id="4" name="Chart 4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276225</xdr:colOff>
      <xdr:row>23</xdr:row>
      <xdr:rowOff>85725</xdr:rowOff>
    </xdr:from>
    <xdr:ext cx="3333750" cy="2066925"/>
    <xdr:graphicFrame>
      <xdr:nvGraphicFramePr>
        <xdr:cNvPr id="5" name="Chart 5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942975</xdr:colOff>
      <xdr:row>11</xdr:row>
      <xdr:rowOff>171450</xdr:rowOff>
    </xdr:from>
    <xdr:ext cx="5715000" cy="3533775"/>
    <xdr:graphicFrame>
      <xdr:nvGraphicFramePr>
        <xdr:cNvPr id="6" name="Chart 6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38100</xdr:rowOff>
    </xdr:from>
    <xdr:ext cx="5715000" cy="3533775"/>
    <xdr:graphicFrame>
      <xdr:nvGraphicFramePr>
        <xdr:cNvPr id="7" name="Chart 7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47625</xdr:rowOff>
    </xdr:from>
    <xdr:ext cx="5715000" cy="3533775"/>
    <xdr:graphicFrame>
      <xdr:nvGraphicFramePr>
        <xdr:cNvPr id="8" name="Chart 8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161925</xdr:rowOff>
    </xdr:from>
    <xdr:ext cx="5715000" cy="3533775"/>
    <xdr:graphicFrame>
      <xdr:nvGraphicFramePr>
        <xdr:cNvPr id="9" name="Chart 9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142875</xdr:rowOff>
    </xdr:from>
    <xdr:ext cx="5715000" cy="3533775"/>
    <xdr:graphicFrame>
      <xdr:nvGraphicFramePr>
        <xdr:cNvPr id="10" name="Chart 10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23</xdr:row>
      <xdr:rowOff>114300</xdr:rowOff>
    </xdr:from>
    <xdr:ext cx="2533650" cy="1571625"/>
    <xdr:graphicFrame>
      <xdr:nvGraphicFramePr>
        <xdr:cNvPr id="11" name="Chart 1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533400</xdr:colOff>
      <xdr:row>82</xdr:row>
      <xdr:rowOff>133350</xdr:rowOff>
    </xdr:from>
    <xdr:ext cx="3829050" cy="2352675"/>
    <xdr:graphicFrame>
      <xdr:nvGraphicFramePr>
        <xdr:cNvPr id="12" name="Chart 12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409575</xdr:colOff>
      <xdr:row>2</xdr:row>
      <xdr:rowOff>38100</xdr:rowOff>
    </xdr:from>
    <xdr:ext cx="1162050" cy="333375"/>
    <xdr:pic>
      <xdr:nvPicPr>
        <xdr:cNvPr id="0" name="image3.png" title="รูปภาพ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</xdr:colOff>
      <xdr:row>9</xdr:row>
      <xdr:rowOff>38100</xdr:rowOff>
    </xdr:from>
    <xdr:ext cx="1362075" cy="428625"/>
    <xdr:pic>
      <xdr:nvPicPr>
        <xdr:cNvPr id="0" name="image1.png" title="รูปภาพ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</xdr:colOff>
      <xdr:row>11</xdr:row>
      <xdr:rowOff>19050</xdr:rowOff>
    </xdr:from>
    <xdr:ext cx="1362075" cy="733425"/>
    <xdr:pic>
      <xdr:nvPicPr>
        <xdr:cNvPr id="0" name="image2.png" title="รูปภาพ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4" t="s">
        <v>9</v>
      </c>
      <c r="J2" s="4" t="s">
        <v>10</v>
      </c>
    </row>
    <row r="3">
      <c r="A3" s="5">
        <v>9864.0</v>
      </c>
      <c r="B3" s="6"/>
      <c r="C3" s="7">
        <v>1166.0</v>
      </c>
      <c r="D3" s="7">
        <v>1111.0</v>
      </c>
      <c r="E3" s="7">
        <v>1129.0</v>
      </c>
      <c r="F3" s="7">
        <v>1129.0</v>
      </c>
      <c r="G3" s="7">
        <v>1147.0</v>
      </c>
      <c r="H3" s="8">
        <f t="shared" ref="H3:H12" si="1">AVERAGE(B3:G3)</f>
        <v>1136.4</v>
      </c>
      <c r="I3" s="9">
        <f t="shared" ref="I3:I23" si="2">ABS(A3*7)/60</f>
        <v>1150.8</v>
      </c>
      <c r="J3" s="9">
        <f t="shared" ref="J3:J12" si="3">ABS((H3-I3)/H3)*100</f>
        <v>1.267159451</v>
      </c>
    </row>
    <row r="4">
      <c r="A4" s="5">
        <v>8864.0</v>
      </c>
      <c r="B4" s="6"/>
      <c r="C4" s="7">
        <v>1012.0</v>
      </c>
      <c r="D4" s="7">
        <v>988.1</v>
      </c>
      <c r="E4" s="7">
        <v>988.1</v>
      </c>
      <c r="F4" s="7">
        <v>1002.0</v>
      </c>
      <c r="G4" s="7">
        <v>984.3</v>
      </c>
      <c r="H4" s="8">
        <f t="shared" si="1"/>
        <v>994.9</v>
      </c>
      <c r="I4" s="9">
        <f t="shared" si="2"/>
        <v>1034.133333</v>
      </c>
      <c r="J4" s="9">
        <f t="shared" si="3"/>
        <v>3.943444902</v>
      </c>
    </row>
    <row r="5">
      <c r="A5" s="5">
        <v>7854.0</v>
      </c>
      <c r="B5" s="6"/>
      <c r="C5" s="7">
        <v>902.5</v>
      </c>
      <c r="D5" s="7">
        <v>905.8</v>
      </c>
      <c r="E5" s="7">
        <v>889.7</v>
      </c>
      <c r="F5" s="7">
        <v>902.5</v>
      </c>
      <c r="G5" s="7">
        <v>912.4</v>
      </c>
      <c r="H5" s="8">
        <f t="shared" si="1"/>
        <v>902.58</v>
      </c>
      <c r="I5" s="9">
        <f t="shared" si="2"/>
        <v>916.3</v>
      </c>
      <c r="J5" s="9">
        <f t="shared" si="3"/>
        <v>1.520086862</v>
      </c>
    </row>
    <row r="6">
      <c r="A6" s="5">
        <v>6872.0</v>
      </c>
      <c r="B6" s="6"/>
      <c r="C6" s="7">
        <v>778.8</v>
      </c>
      <c r="D6" s="7">
        <v>801.3</v>
      </c>
      <c r="E6" s="7">
        <v>793.7</v>
      </c>
      <c r="F6" s="7">
        <v>793.7</v>
      </c>
      <c r="G6" s="7">
        <v>791.1</v>
      </c>
      <c r="H6" s="8">
        <f t="shared" si="1"/>
        <v>791.72</v>
      </c>
      <c r="I6" s="9">
        <f t="shared" si="2"/>
        <v>801.7333333</v>
      </c>
      <c r="J6" s="9">
        <f t="shared" si="3"/>
        <v>1.264756901</v>
      </c>
    </row>
    <row r="7">
      <c r="A7" s="5">
        <v>5886.0</v>
      </c>
      <c r="B7" s="6"/>
      <c r="C7" s="7">
        <v>661.4</v>
      </c>
      <c r="D7" s="7">
        <v>664.9</v>
      </c>
      <c r="E7" s="7">
        <v>666.7</v>
      </c>
      <c r="F7" s="7">
        <v>654.5</v>
      </c>
      <c r="G7" s="7">
        <v>670.2</v>
      </c>
      <c r="H7" s="8">
        <f t="shared" si="1"/>
        <v>663.54</v>
      </c>
      <c r="I7" s="9">
        <f t="shared" si="2"/>
        <v>686.7</v>
      </c>
      <c r="J7" s="9">
        <f t="shared" si="3"/>
        <v>3.490369835</v>
      </c>
    </row>
    <row r="8">
      <c r="A8" s="5">
        <v>4886.0</v>
      </c>
      <c r="B8" s="6"/>
      <c r="C8" s="7">
        <v>563.1</v>
      </c>
      <c r="D8" s="7">
        <v>555.6</v>
      </c>
      <c r="E8" s="7">
        <v>559.3</v>
      </c>
      <c r="F8" s="7">
        <v>559.3</v>
      </c>
      <c r="G8" s="7">
        <v>558.0</v>
      </c>
      <c r="H8" s="8">
        <f t="shared" si="1"/>
        <v>559.06</v>
      </c>
      <c r="I8" s="9">
        <f t="shared" si="2"/>
        <v>570.0333333</v>
      </c>
      <c r="J8" s="9">
        <f t="shared" si="3"/>
        <v>1.962818541</v>
      </c>
    </row>
    <row r="9">
      <c r="A9" s="5">
        <v>3876.0</v>
      </c>
      <c r="B9" s="6"/>
      <c r="C9" s="7">
        <v>440.9</v>
      </c>
      <c r="D9" s="7">
        <v>440.9</v>
      </c>
      <c r="E9" s="7">
        <v>440.1</v>
      </c>
      <c r="F9" s="7">
        <v>440.1</v>
      </c>
      <c r="G9" s="7">
        <v>437.8</v>
      </c>
      <c r="H9" s="8">
        <f t="shared" si="1"/>
        <v>439.96</v>
      </c>
      <c r="I9" s="9">
        <f t="shared" si="2"/>
        <v>452.2</v>
      </c>
      <c r="J9" s="9">
        <f t="shared" si="3"/>
        <v>2.782071097</v>
      </c>
    </row>
    <row r="10">
      <c r="A10" s="5">
        <v>2892.0</v>
      </c>
      <c r="B10" s="6"/>
      <c r="C10" s="7">
        <v>326.8</v>
      </c>
      <c r="D10" s="7">
        <v>324.7</v>
      </c>
      <c r="E10" s="7">
        <v>324.7</v>
      </c>
      <c r="F10" s="7">
        <v>322.6</v>
      </c>
      <c r="G10" s="7">
        <v>324.7</v>
      </c>
      <c r="H10" s="8">
        <f t="shared" si="1"/>
        <v>324.7</v>
      </c>
      <c r="I10" s="9">
        <f t="shared" si="2"/>
        <v>337.4</v>
      </c>
      <c r="J10" s="9">
        <f t="shared" si="3"/>
        <v>3.911302741</v>
      </c>
      <c r="R10" s="4" t="s">
        <v>11</v>
      </c>
    </row>
    <row r="11">
      <c r="A11" s="5">
        <v>1872.0</v>
      </c>
      <c r="B11" s="6"/>
      <c r="C11" s="7">
        <v>209.6</v>
      </c>
      <c r="D11" s="7">
        <v>209.6</v>
      </c>
      <c r="E11" s="7">
        <v>207.9</v>
      </c>
      <c r="F11" s="7">
        <v>209.6</v>
      </c>
      <c r="G11" s="7">
        <v>209.6</v>
      </c>
      <c r="H11" s="8">
        <f t="shared" si="1"/>
        <v>209.26</v>
      </c>
      <c r="I11" s="9">
        <f t="shared" si="2"/>
        <v>218.4</v>
      </c>
      <c r="J11" s="9">
        <f t="shared" si="3"/>
        <v>4.367772149</v>
      </c>
      <c r="R11" s="4" t="s">
        <v>12</v>
      </c>
    </row>
    <row r="12">
      <c r="A12" s="6">
        <v>1476.0</v>
      </c>
      <c r="B12" s="10">
        <v>170.6</v>
      </c>
      <c r="C12" s="11"/>
      <c r="D12" s="11"/>
      <c r="E12" s="11"/>
      <c r="F12" s="11"/>
      <c r="G12" s="11"/>
      <c r="H12" s="8">
        <f t="shared" si="1"/>
        <v>170.6</v>
      </c>
      <c r="I12" s="9">
        <f t="shared" si="2"/>
        <v>172.2</v>
      </c>
      <c r="J12" s="9">
        <f t="shared" si="3"/>
        <v>0.937866354</v>
      </c>
    </row>
    <row r="13">
      <c r="A13" s="6">
        <v>0.0</v>
      </c>
      <c r="B13" s="12"/>
      <c r="C13" s="11"/>
      <c r="D13" s="11"/>
      <c r="E13" s="11"/>
      <c r="F13" s="11"/>
      <c r="G13" s="11"/>
      <c r="H13" s="8">
        <v>0.0</v>
      </c>
      <c r="I13" s="9">
        <f t="shared" si="2"/>
        <v>0</v>
      </c>
      <c r="J13" s="13">
        <v>0.0</v>
      </c>
    </row>
    <row r="14">
      <c r="A14" s="6">
        <v>-1476.0</v>
      </c>
      <c r="B14" s="10">
        <v>171.8</v>
      </c>
      <c r="C14" s="11"/>
      <c r="D14" s="11"/>
      <c r="E14" s="11"/>
      <c r="F14" s="11"/>
      <c r="G14" s="11"/>
      <c r="H14" s="8">
        <f t="shared" ref="H14:H23" si="4">AVERAGE(B14:G14)</f>
        <v>171.8</v>
      </c>
      <c r="I14" s="9">
        <f t="shared" si="2"/>
        <v>172.2</v>
      </c>
      <c r="J14" s="9">
        <f t="shared" ref="J14:J23" si="5">ABS((H14-I14)/H14)*100</f>
        <v>0.2328288708</v>
      </c>
    </row>
    <row r="15">
      <c r="A15" s="5">
        <v>-1872.0</v>
      </c>
      <c r="B15" s="6"/>
      <c r="C15" s="7">
        <v>209.6</v>
      </c>
      <c r="D15" s="7">
        <v>209.6</v>
      </c>
      <c r="E15" s="7">
        <v>210.1</v>
      </c>
      <c r="F15" s="7">
        <v>210.1</v>
      </c>
      <c r="G15" s="7">
        <v>208.3</v>
      </c>
      <c r="H15" s="8">
        <f t="shared" si="4"/>
        <v>209.54</v>
      </c>
      <c r="I15" s="9">
        <f t="shared" si="2"/>
        <v>218.4</v>
      </c>
      <c r="J15" s="9">
        <f t="shared" si="5"/>
        <v>4.228309631</v>
      </c>
    </row>
    <row r="16">
      <c r="A16" s="5">
        <v>-2856.0</v>
      </c>
      <c r="B16" s="6"/>
      <c r="C16" s="7">
        <v>332.2</v>
      </c>
      <c r="D16" s="7">
        <v>328.9</v>
      </c>
      <c r="E16" s="7">
        <v>334.4</v>
      </c>
      <c r="F16" s="7">
        <v>334.4</v>
      </c>
      <c r="G16" s="7">
        <v>337.8</v>
      </c>
      <c r="H16" s="8">
        <f t="shared" si="4"/>
        <v>333.54</v>
      </c>
      <c r="I16" s="9">
        <f t="shared" si="2"/>
        <v>333.2</v>
      </c>
      <c r="J16" s="9">
        <f t="shared" si="5"/>
        <v>0.1019367992</v>
      </c>
    </row>
    <row r="17">
      <c r="A17" s="5">
        <v>-3876.0</v>
      </c>
      <c r="B17" s="6"/>
      <c r="C17" s="7">
        <v>446.4</v>
      </c>
      <c r="D17" s="7">
        <v>444.8</v>
      </c>
      <c r="E17" s="7">
        <v>444.8</v>
      </c>
      <c r="F17" s="7">
        <v>440.1</v>
      </c>
      <c r="G17" s="7">
        <v>446.4</v>
      </c>
      <c r="H17" s="8">
        <f t="shared" si="4"/>
        <v>444.5</v>
      </c>
      <c r="I17" s="9">
        <f t="shared" si="2"/>
        <v>452.2</v>
      </c>
      <c r="J17" s="9">
        <f t="shared" si="5"/>
        <v>1.732283465</v>
      </c>
    </row>
    <row r="18">
      <c r="A18" s="5">
        <v>-4866.0</v>
      </c>
      <c r="B18" s="6"/>
      <c r="C18" s="7">
        <v>563.1</v>
      </c>
      <c r="D18" s="7">
        <v>569.5</v>
      </c>
      <c r="E18" s="7">
        <v>565.6</v>
      </c>
      <c r="F18" s="7">
        <v>569.5</v>
      </c>
      <c r="G18" s="7">
        <v>569.5</v>
      </c>
      <c r="H18" s="8">
        <f t="shared" si="4"/>
        <v>567.44</v>
      </c>
      <c r="I18" s="9">
        <f t="shared" si="2"/>
        <v>567.7</v>
      </c>
      <c r="J18" s="9">
        <f t="shared" si="5"/>
        <v>0.04581982236</v>
      </c>
    </row>
    <row r="19">
      <c r="A19" s="5">
        <v>-5886.0</v>
      </c>
      <c r="B19" s="6"/>
      <c r="C19" s="7">
        <v>673.9</v>
      </c>
      <c r="D19" s="7">
        <v>677.5</v>
      </c>
      <c r="E19" s="7">
        <v>677.5</v>
      </c>
      <c r="F19" s="7">
        <v>681.2</v>
      </c>
      <c r="G19" s="7">
        <v>675.7</v>
      </c>
      <c r="H19" s="8">
        <f t="shared" si="4"/>
        <v>677.16</v>
      </c>
      <c r="I19" s="9">
        <f t="shared" si="2"/>
        <v>686.7</v>
      </c>
      <c r="J19" s="9">
        <f t="shared" si="5"/>
        <v>1.408825093</v>
      </c>
    </row>
    <row r="20">
      <c r="A20" s="5">
        <v>-6872.0</v>
      </c>
      <c r="B20" s="6"/>
      <c r="C20" s="7">
        <v>806.5</v>
      </c>
      <c r="D20" s="7">
        <v>786.2</v>
      </c>
      <c r="E20" s="7">
        <v>796.2</v>
      </c>
      <c r="F20" s="7">
        <v>796.2</v>
      </c>
      <c r="G20" s="7">
        <v>781.3</v>
      </c>
      <c r="H20" s="8">
        <f t="shared" si="4"/>
        <v>793.28</v>
      </c>
      <c r="I20" s="9">
        <f t="shared" si="2"/>
        <v>801.7333333</v>
      </c>
      <c r="J20" s="9">
        <f t="shared" si="5"/>
        <v>1.065617857</v>
      </c>
    </row>
    <row r="21">
      <c r="A21" s="5">
        <v>-7854.0</v>
      </c>
      <c r="B21" s="6"/>
      <c r="C21" s="7">
        <v>905.8</v>
      </c>
      <c r="D21" s="7">
        <v>919.1</v>
      </c>
      <c r="E21" s="7">
        <v>899.3</v>
      </c>
      <c r="F21" s="7">
        <v>889.7</v>
      </c>
      <c r="G21" s="7">
        <v>929.4</v>
      </c>
      <c r="H21" s="8">
        <f t="shared" si="4"/>
        <v>908.66</v>
      </c>
      <c r="I21" s="9">
        <f t="shared" si="2"/>
        <v>916.3</v>
      </c>
      <c r="J21" s="9">
        <f t="shared" si="5"/>
        <v>0.8407985385</v>
      </c>
    </row>
    <row r="22">
      <c r="A22" s="5">
        <v>-8874.0</v>
      </c>
      <c r="B22" s="6"/>
      <c r="C22" s="7">
        <v>1020.0</v>
      </c>
      <c r="D22" s="7">
        <v>1020.0</v>
      </c>
      <c r="E22" s="7">
        <v>988.1</v>
      </c>
      <c r="F22" s="7">
        <v>1012.0</v>
      </c>
      <c r="G22" s="7">
        <v>992.1</v>
      </c>
      <c r="H22" s="8">
        <f t="shared" si="4"/>
        <v>1006.44</v>
      </c>
      <c r="I22" s="9">
        <f t="shared" si="2"/>
        <v>1035.3</v>
      </c>
      <c r="J22" s="9">
        <f t="shared" si="5"/>
        <v>2.867533087</v>
      </c>
    </row>
    <row r="23">
      <c r="A23" s="5">
        <v>-9864.0</v>
      </c>
      <c r="B23" s="6"/>
      <c r="C23" s="7">
        <v>1012.0</v>
      </c>
      <c r="D23" s="7">
        <v>1008.0</v>
      </c>
      <c r="E23" s="7">
        <v>992.1</v>
      </c>
      <c r="F23" s="7">
        <v>1012.0</v>
      </c>
      <c r="G23" s="7">
        <v>1008.0</v>
      </c>
      <c r="H23" s="8">
        <f t="shared" si="4"/>
        <v>1006.42</v>
      </c>
      <c r="I23" s="9">
        <f t="shared" si="2"/>
        <v>1150.8</v>
      </c>
      <c r="J23" s="9">
        <f t="shared" si="5"/>
        <v>14.34589933</v>
      </c>
    </row>
    <row r="28">
      <c r="A28" s="14" t="s">
        <v>0</v>
      </c>
      <c r="B28" s="15" t="s">
        <v>13</v>
      </c>
      <c r="C28" s="12"/>
      <c r="D28" s="12"/>
      <c r="E28" s="14" t="s">
        <v>0</v>
      </c>
      <c r="F28" s="15" t="s">
        <v>14</v>
      </c>
      <c r="G28" s="15" t="s">
        <v>15</v>
      </c>
      <c r="H28" s="15" t="s">
        <v>16</v>
      </c>
      <c r="I28" s="15" t="s">
        <v>17</v>
      </c>
      <c r="J28" s="15" t="s">
        <v>18</v>
      </c>
      <c r="K28" s="16" t="s">
        <v>13</v>
      </c>
    </row>
    <row r="29">
      <c r="A29" s="5">
        <v>9864.0</v>
      </c>
      <c r="B29" s="6">
        <v>16.4</v>
      </c>
      <c r="C29" s="12"/>
      <c r="D29" s="12"/>
      <c r="E29" s="6">
        <v>9800.0</v>
      </c>
      <c r="F29" s="6">
        <v>70.92</v>
      </c>
      <c r="G29" s="6">
        <v>99.01</v>
      </c>
      <c r="H29" s="17">
        <f t="shared" ref="H29:H37" si="6">1/F29</f>
        <v>0.01410039481</v>
      </c>
      <c r="I29" s="6">
        <v>0.0101</v>
      </c>
      <c r="J29" s="10">
        <v>71.6291</v>
      </c>
      <c r="K29" s="18">
        <f t="shared" ref="K29:K47" si="7">J29%*$B$47</f>
        <v>11.71852076</v>
      </c>
    </row>
    <row r="30">
      <c r="A30" s="5">
        <v>8864.0</v>
      </c>
      <c r="B30" s="6">
        <v>16.4</v>
      </c>
      <c r="C30" s="12"/>
      <c r="D30" s="12"/>
      <c r="E30" s="6">
        <v>8800.0</v>
      </c>
      <c r="F30" s="6">
        <v>69.93</v>
      </c>
      <c r="G30" s="6">
        <v>113.6</v>
      </c>
      <c r="H30" s="17">
        <f t="shared" si="6"/>
        <v>0.0143000143</v>
      </c>
      <c r="I30" s="6">
        <v>0.0088</v>
      </c>
      <c r="J30" s="10">
        <v>61.5581</v>
      </c>
      <c r="K30" s="18">
        <f t="shared" si="7"/>
        <v>10.07090516</v>
      </c>
    </row>
    <row r="31">
      <c r="A31" s="5">
        <v>7854.0</v>
      </c>
      <c r="B31" s="6">
        <v>16.0</v>
      </c>
      <c r="C31" s="12"/>
      <c r="D31" s="12"/>
      <c r="E31" s="6">
        <v>7800.0</v>
      </c>
      <c r="F31" s="6">
        <v>69.44</v>
      </c>
      <c r="G31" s="6">
        <v>123.5</v>
      </c>
      <c r="H31" s="17">
        <f t="shared" si="6"/>
        <v>0.01440092166</v>
      </c>
      <c r="I31" s="6">
        <v>0.0081</v>
      </c>
      <c r="J31" s="10">
        <v>56.2267</v>
      </c>
      <c r="K31" s="18">
        <f t="shared" si="7"/>
        <v>9.19868812</v>
      </c>
    </row>
    <row r="32">
      <c r="A32" s="5">
        <v>6872.0</v>
      </c>
      <c r="B32" s="6">
        <v>16.4</v>
      </c>
      <c r="C32" s="12"/>
      <c r="D32" s="12"/>
      <c r="E32" s="6">
        <v>6800.0</v>
      </c>
      <c r="F32" s="6">
        <v>69.93</v>
      </c>
      <c r="G32" s="6">
        <v>142.9</v>
      </c>
      <c r="H32" s="17">
        <f t="shared" si="6"/>
        <v>0.0143000143</v>
      </c>
      <c r="I32" s="6">
        <v>0.007</v>
      </c>
      <c r="J32" s="10">
        <v>48.9363</v>
      </c>
      <c r="K32" s="18">
        <f t="shared" si="7"/>
        <v>8.00597868</v>
      </c>
    </row>
    <row r="33">
      <c r="A33" s="5">
        <v>5886.0</v>
      </c>
      <c r="B33" s="6">
        <v>16.4</v>
      </c>
      <c r="C33" s="12"/>
      <c r="D33" s="12"/>
      <c r="E33" s="6">
        <v>5800.0</v>
      </c>
      <c r="F33" s="6">
        <v>69.93</v>
      </c>
      <c r="G33" s="6">
        <v>169.5</v>
      </c>
      <c r="H33" s="17">
        <f t="shared" si="6"/>
        <v>0.0143000143</v>
      </c>
      <c r="I33" s="6">
        <v>0.0059</v>
      </c>
      <c r="J33" s="10">
        <v>41.2566</v>
      </c>
      <c r="K33" s="18">
        <f t="shared" si="7"/>
        <v>6.74957976</v>
      </c>
    </row>
    <row r="34">
      <c r="A34" s="5">
        <v>4886.0</v>
      </c>
      <c r="B34" s="6">
        <v>16.8</v>
      </c>
      <c r="C34" s="12"/>
      <c r="D34" s="12"/>
      <c r="E34" s="6">
        <v>4800.0</v>
      </c>
      <c r="F34" s="6">
        <v>69.93</v>
      </c>
      <c r="G34" s="6">
        <v>188.7</v>
      </c>
      <c r="H34" s="17">
        <f t="shared" si="6"/>
        <v>0.0143000143</v>
      </c>
      <c r="I34" s="6">
        <v>0.0053</v>
      </c>
      <c r="J34" s="10">
        <v>37.0588</v>
      </c>
      <c r="K34" s="18">
        <f t="shared" si="7"/>
        <v>6.06281968</v>
      </c>
    </row>
    <row r="35">
      <c r="A35" s="5">
        <v>3876.0</v>
      </c>
      <c r="B35" s="6">
        <v>16.0</v>
      </c>
      <c r="C35" s="12"/>
      <c r="D35" s="12"/>
      <c r="E35" s="6">
        <v>3800.0</v>
      </c>
      <c r="F35" s="6">
        <v>69.93</v>
      </c>
      <c r="G35" s="6">
        <v>250.0</v>
      </c>
      <c r="H35" s="17">
        <f t="shared" si="6"/>
        <v>0.0143000143</v>
      </c>
      <c r="I35" s="6">
        <v>0.004</v>
      </c>
      <c r="J35" s="10">
        <v>27.972</v>
      </c>
      <c r="K35" s="18">
        <f t="shared" si="7"/>
        <v>4.5762192</v>
      </c>
    </row>
    <row r="36">
      <c r="A36" s="5">
        <v>2892.0</v>
      </c>
      <c r="B36" s="6">
        <v>16.4</v>
      </c>
      <c r="C36" s="12"/>
      <c r="D36" s="12"/>
      <c r="E36" s="6">
        <v>2800.0</v>
      </c>
      <c r="F36" s="6">
        <v>69.44</v>
      </c>
      <c r="G36" s="6">
        <v>333.3</v>
      </c>
      <c r="H36" s="17">
        <f t="shared" si="6"/>
        <v>0.01440092166</v>
      </c>
      <c r="I36" s="6">
        <v>0.003</v>
      </c>
      <c r="J36" s="10">
        <v>20.8341</v>
      </c>
      <c r="K36" s="18">
        <f t="shared" si="7"/>
        <v>3.40845876</v>
      </c>
    </row>
    <row r="37">
      <c r="A37" s="5">
        <v>1872.0</v>
      </c>
      <c r="B37" s="6">
        <v>16.0</v>
      </c>
      <c r="C37" s="12"/>
      <c r="D37" s="12"/>
      <c r="E37" s="6">
        <v>1800.0</v>
      </c>
      <c r="F37" s="6">
        <v>70.42</v>
      </c>
      <c r="G37" s="6">
        <v>500.0</v>
      </c>
      <c r="H37" s="17">
        <f t="shared" si="6"/>
        <v>0.01420051122</v>
      </c>
      <c r="I37" s="6">
        <v>0.002</v>
      </c>
      <c r="J37" s="10">
        <v>14.084</v>
      </c>
      <c r="K37" s="18">
        <f t="shared" si="7"/>
        <v>2.3041424</v>
      </c>
    </row>
    <row r="38">
      <c r="A38" s="5">
        <v>-1872.0</v>
      </c>
      <c r="B38" s="6">
        <v>16.4</v>
      </c>
      <c r="C38" s="12"/>
      <c r="D38" s="12"/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18">
        <f t="shared" si="7"/>
        <v>0</v>
      </c>
    </row>
    <row r="39">
      <c r="A39" s="5">
        <v>-2856.0</v>
      </c>
      <c r="B39" s="6">
        <v>16.4</v>
      </c>
      <c r="C39" s="12"/>
      <c r="D39" s="12"/>
      <c r="E39" s="6">
        <v>-1800.0</v>
      </c>
      <c r="F39" s="6">
        <v>68.97</v>
      </c>
      <c r="G39" s="6">
        <v>454.4</v>
      </c>
      <c r="H39" s="17">
        <f t="shared" ref="H39:H47" si="8">1/F39</f>
        <v>0.01449905756</v>
      </c>
      <c r="I39" s="6">
        <v>0.0022</v>
      </c>
      <c r="J39" s="10">
        <v>15.1783</v>
      </c>
      <c r="K39" s="18">
        <f t="shared" si="7"/>
        <v>2.48316988</v>
      </c>
    </row>
    <row r="40">
      <c r="A40" s="5">
        <v>-3876.0</v>
      </c>
      <c r="B40" s="6">
        <v>15.6</v>
      </c>
      <c r="C40" s="12"/>
      <c r="D40" s="12"/>
      <c r="E40" s="6">
        <v>-2800.0</v>
      </c>
      <c r="F40" s="6">
        <v>68.49</v>
      </c>
      <c r="G40" s="6">
        <v>285.7</v>
      </c>
      <c r="H40" s="17">
        <f t="shared" si="8"/>
        <v>0.01460067163</v>
      </c>
      <c r="I40" s="6">
        <v>0.0035</v>
      </c>
      <c r="J40" s="10">
        <v>23.9727</v>
      </c>
      <c r="K40" s="18">
        <f t="shared" si="7"/>
        <v>3.92193372</v>
      </c>
    </row>
    <row r="41">
      <c r="A41" s="5">
        <v>-4866.0</v>
      </c>
      <c r="B41" s="6">
        <v>16.4</v>
      </c>
      <c r="C41" s="12"/>
      <c r="D41" s="12"/>
      <c r="E41" s="6">
        <v>-3800.0</v>
      </c>
      <c r="F41" s="6">
        <v>69.44</v>
      </c>
      <c r="G41" s="6">
        <v>232.6</v>
      </c>
      <c r="H41" s="17">
        <f t="shared" si="8"/>
        <v>0.01440092166</v>
      </c>
      <c r="I41" s="6">
        <v>0.0043</v>
      </c>
      <c r="J41" s="10">
        <v>29.8538</v>
      </c>
      <c r="K41" s="18">
        <f t="shared" si="7"/>
        <v>4.88408168</v>
      </c>
    </row>
    <row r="42">
      <c r="A42" s="5">
        <v>-5886.0</v>
      </c>
      <c r="B42" s="6">
        <v>16.4</v>
      </c>
      <c r="C42" s="12"/>
      <c r="D42" s="12"/>
      <c r="E42" s="6">
        <v>-4800.0</v>
      </c>
      <c r="F42" s="6">
        <v>70.92</v>
      </c>
      <c r="G42" s="6">
        <v>185.2</v>
      </c>
      <c r="H42" s="17">
        <f t="shared" si="8"/>
        <v>0.01410039481</v>
      </c>
      <c r="I42" s="6">
        <v>0.0054</v>
      </c>
      <c r="J42" s="10">
        <v>38.2937</v>
      </c>
      <c r="K42" s="18">
        <f t="shared" si="7"/>
        <v>6.26484932</v>
      </c>
    </row>
    <row r="43">
      <c r="A43" s="5">
        <v>-6872.0</v>
      </c>
      <c r="B43" s="6">
        <v>16.4</v>
      </c>
      <c r="C43" s="12"/>
      <c r="D43" s="12"/>
      <c r="E43" s="6">
        <v>-5800.0</v>
      </c>
      <c r="F43" s="6">
        <v>68.03</v>
      </c>
      <c r="G43" s="6">
        <v>151.5</v>
      </c>
      <c r="H43" s="17">
        <f t="shared" si="8"/>
        <v>0.01469939732</v>
      </c>
      <c r="I43" s="6">
        <v>0.0066</v>
      </c>
      <c r="J43" s="10">
        <v>44.9043</v>
      </c>
      <c r="K43" s="18">
        <f t="shared" si="7"/>
        <v>7.34634348</v>
      </c>
    </row>
    <row r="44">
      <c r="A44" s="5">
        <v>-7854.0</v>
      </c>
      <c r="B44" s="6">
        <v>16.8</v>
      </c>
      <c r="C44" s="12"/>
      <c r="D44" s="12"/>
      <c r="E44" s="6">
        <v>-6800.0</v>
      </c>
      <c r="F44" s="6">
        <v>69.44</v>
      </c>
      <c r="G44" s="6">
        <v>133.3</v>
      </c>
      <c r="H44" s="17">
        <f t="shared" si="8"/>
        <v>0.01440092166</v>
      </c>
      <c r="I44" s="6">
        <v>0.0075</v>
      </c>
      <c r="J44" s="10">
        <v>52.093</v>
      </c>
      <c r="K44" s="18">
        <f t="shared" si="7"/>
        <v>8.5224148</v>
      </c>
    </row>
    <row r="45">
      <c r="A45" s="5">
        <v>-8874.0</v>
      </c>
      <c r="B45" s="6">
        <v>16.0</v>
      </c>
      <c r="C45" s="12"/>
      <c r="D45" s="12"/>
      <c r="E45" s="6">
        <v>-7800.0</v>
      </c>
      <c r="F45" s="6">
        <v>68.03</v>
      </c>
      <c r="G45" s="6">
        <v>122.0</v>
      </c>
      <c r="H45" s="17">
        <f t="shared" si="8"/>
        <v>0.01469939732</v>
      </c>
      <c r="I45" s="6">
        <v>0.0082</v>
      </c>
      <c r="J45" s="10">
        <v>55.7623</v>
      </c>
      <c r="K45" s="18">
        <f t="shared" si="7"/>
        <v>9.12271228</v>
      </c>
    </row>
    <row r="46">
      <c r="A46" s="5">
        <v>-9864.0</v>
      </c>
      <c r="B46" s="6">
        <v>17.2</v>
      </c>
      <c r="C46" s="12"/>
      <c r="D46" s="12"/>
      <c r="E46" s="6">
        <v>-8800.0</v>
      </c>
      <c r="F46" s="6">
        <v>68.97</v>
      </c>
      <c r="G46" s="6">
        <v>106.4</v>
      </c>
      <c r="H46" s="17">
        <f t="shared" si="8"/>
        <v>0.01449905756</v>
      </c>
      <c r="I46" s="6">
        <v>0.0094</v>
      </c>
      <c r="J46" s="10">
        <v>64.8214</v>
      </c>
      <c r="K46" s="18">
        <f t="shared" si="7"/>
        <v>10.60478104</v>
      </c>
    </row>
    <row r="47">
      <c r="A47" s="19" t="s">
        <v>8</v>
      </c>
      <c r="B47" s="20">
        <v>16.36</v>
      </c>
      <c r="C47" s="12"/>
      <c r="D47" s="12"/>
      <c r="E47" s="6">
        <v>-9800.0</v>
      </c>
      <c r="F47" s="6">
        <v>70.92</v>
      </c>
      <c r="G47" s="6">
        <v>109.9</v>
      </c>
      <c r="H47" s="17">
        <f t="shared" si="8"/>
        <v>0.01410039481</v>
      </c>
      <c r="I47" s="6">
        <v>0.0091</v>
      </c>
      <c r="J47" s="10">
        <v>64.5314</v>
      </c>
      <c r="K47" s="18">
        <f t="shared" si="7"/>
        <v>10.55733704</v>
      </c>
    </row>
    <row r="48">
      <c r="B48" s="21">
        <f>17.1-2.9</f>
        <v>14.2</v>
      </c>
    </row>
  </sheetData>
  <mergeCells count="2">
    <mergeCell ref="A1:A2"/>
    <mergeCell ref="B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19</v>
      </c>
    </row>
    <row r="2">
      <c r="A2" s="4" t="s">
        <v>20</v>
      </c>
    </row>
    <row r="4">
      <c r="A4" s="4" t="s">
        <v>21</v>
      </c>
      <c r="H4" s="4" t="s">
        <v>22</v>
      </c>
    </row>
    <row r="5">
      <c r="A5" s="4" t="s">
        <v>23</v>
      </c>
      <c r="B5" s="4" t="s">
        <v>24</v>
      </c>
      <c r="C5" s="22"/>
      <c r="D5" s="22"/>
      <c r="E5" s="22"/>
      <c r="F5" s="23"/>
      <c r="G5" s="23"/>
      <c r="H5" s="4" t="s">
        <v>23</v>
      </c>
      <c r="I5" s="4" t="s">
        <v>24</v>
      </c>
      <c r="J5" s="4" t="s">
        <v>25</v>
      </c>
      <c r="K5" s="4" t="s">
        <v>26</v>
      </c>
    </row>
    <row r="6">
      <c r="A6" s="24" t="s">
        <v>27</v>
      </c>
      <c r="B6" s="25">
        <v>0.089185</v>
      </c>
      <c r="H6" s="24" t="s">
        <v>27</v>
      </c>
      <c r="I6" s="25">
        <v>0.089185</v>
      </c>
      <c r="J6" s="25">
        <v>0.514724</v>
      </c>
      <c r="K6" s="25">
        <v>0.975938</v>
      </c>
    </row>
    <row r="7">
      <c r="A7" s="24" t="s">
        <v>28</v>
      </c>
      <c r="B7" s="25">
        <v>0.214044</v>
      </c>
      <c r="C7" s="26"/>
      <c r="D7" s="26"/>
      <c r="E7" s="26"/>
      <c r="H7" s="24" t="s">
        <v>28</v>
      </c>
      <c r="I7" s="25">
        <v>0.214044</v>
      </c>
      <c r="J7" s="25">
        <v>0.978486</v>
      </c>
      <c r="K7" s="25">
        <v>1.962069</v>
      </c>
    </row>
    <row r="8">
      <c r="A8" s="24" t="s">
        <v>29</v>
      </c>
      <c r="B8" s="25">
        <v>0.377125</v>
      </c>
      <c r="C8" s="26"/>
      <c r="D8" s="26"/>
      <c r="E8" s="26"/>
      <c r="H8" s="24" t="s">
        <v>29</v>
      </c>
      <c r="I8" s="25">
        <v>0.377125</v>
      </c>
      <c r="J8" s="25">
        <v>1.967165</v>
      </c>
      <c r="K8" s="25">
        <v>3.964907</v>
      </c>
    </row>
    <row r="9">
      <c r="A9" s="24" t="s">
        <v>30</v>
      </c>
      <c r="B9" s="25">
        <v>0.777183</v>
      </c>
      <c r="C9" s="26"/>
      <c r="D9" s="26"/>
      <c r="E9" s="26"/>
      <c r="H9" s="24" t="s">
        <v>30</v>
      </c>
      <c r="I9" s="25">
        <v>0.777183</v>
      </c>
      <c r="J9" s="25">
        <v>3.94707</v>
      </c>
      <c r="K9" s="25">
        <v>7.901785</v>
      </c>
    </row>
    <row r="10">
      <c r="A10" s="24" t="s">
        <v>31</v>
      </c>
      <c r="B10" s="25">
        <v>1.429507</v>
      </c>
      <c r="C10" s="26"/>
      <c r="D10" s="26"/>
      <c r="E10" s="26"/>
      <c r="H10" s="24" t="s">
        <v>31</v>
      </c>
      <c r="I10" s="25">
        <v>1.429507</v>
      </c>
      <c r="J10" s="25">
        <v>7.911978</v>
      </c>
      <c r="K10" s="25">
        <v>15.69145</v>
      </c>
    </row>
    <row r="11">
      <c r="A11" s="24" t="s">
        <v>32</v>
      </c>
      <c r="B11" s="25">
        <v>3.190272</v>
      </c>
      <c r="C11" s="26"/>
      <c r="D11" s="26"/>
      <c r="E11" s="26"/>
      <c r="H11" s="24" t="s">
        <v>32</v>
      </c>
      <c r="I11" s="25">
        <v>3.190272</v>
      </c>
      <c r="J11" s="25">
        <v>15.71693</v>
      </c>
      <c r="K11" s="25">
        <v>31.33194</v>
      </c>
    </row>
    <row r="12">
      <c r="C12" s="26"/>
      <c r="D12" s="26"/>
      <c r="E12" s="26"/>
    </row>
    <row r="13">
      <c r="A13" s="4" t="s">
        <v>33</v>
      </c>
      <c r="C13" s="26"/>
      <c r="D13" s="26"/>
      <c r="E13" s="26"/>
    </row>
    <row r="14">
      <c r="A14" s="4" t="s">
        <v>23</v>
      </c>
      <c r="B14" s="4" t="s">
        <v>25</v>
      </c>
      <c r="C14" s="26"/>
      <c r="D14" s="26"/>
      <c r="E14" s="26"/>
    </row>
    <row r="15">
      <c r="A15" s="24" t="s">
        <v>27</v>
      </c>
      <c r="B15" s="26">
        <v>0.514724</v>
      </c>
      <c r="E15" s="26"/>
    </row>
    <row r="16">
      <c r="A16" s="24" t="s">
        <v>28</v>
      </c>
      <c r="B16" s="26">
        <v>0.978486</v>
      </c>
      <c r="E16" s="26"/>
    </row>
    <row r="17">
      <c r="A17" s="24" t="s">
        <v>29</v>
      </c>
      <c r="B17" s="26">
        <v>1.967165</v>
      </c>
      <c r="E17" s="26"/>
    </row>
    <row r="18">
      <c r="A18" s="24" t="s">
        <v>30</v>
      </c>
      <c r="B18" s="26">
        <v>3.94707</v>
      </c>
      <c r="E18" s="26"/>
    </row>
    <row r="19">
      <c r="A19" s="24" t="s">
        <v>31</v>
      </c>
      <c r="B19" s="26">
        <v>7.911978</v>
      </c>
      <c r="E19" s="26"/>
    </row>
    <row r="20">
      <c r="A20" s="24" t="s">
        <v>32</v>
      </c>
      <c r="B20" s="26">
        <v>15.71693</v>
      </c>
      <c r="E20" s="26"/>
    </row>
    <row r="21">
      <c r="A21" s="26"/>
      <c r="B21" s="26"/>
      <c r="C21" s="26"/>
      <c r="D21" s="26"/>
      <c r="E21" s="26"/>
    </row>
    <row r="22">
      <c r="A22" s="4" t="s">
        <v>34</v>
      </c>
      <c r="C22" s="26"/>
      <c r="D22" s="26"/>
      <c r="E22" s="26"/>
    </row>
    <row r="23">
      <c r="A23" s="4" t="s">
        <v>23</v>
      </c>
      <c r="B23" s="4" t="s">
        <v>26</v>
      </c>
      <c r="E23" s="26"/>
    </row>
    <row r="24">
      <c r="A24" s="24" t="s">
        <v>27</v>
      </c>
      <c r="B24" s="26">
        <v>0.975938</v>
      </c>
      <c r="E24" s="26"/>
    </row>
    <row r="25">
      <c r="A25" s="24" t="s">
        <v>28</v>
      </c>
      <c r="B25" s="26">
        <v>1.962069</v>
      </c>
      <c r="E25" s="26"/>
    </row>
    <row r="26">
      <c r="A26" s="24" t="s">
        <v>29</v>
      </c>
      <c r="B26" s="26">
        <v>3.964907</v>
      </c>
      <c r="E26" s="26"/>
    </row>
    <row r="27">
      <c r="A27" s="24" t="s">
        <v>30</v>
      </c>
      <c r="B27" s="26">
        <v>7.901785</v>
      </c>
      <c r="E27" s="26"/>
    </row>
    <row r="28">
      <c r="A28" s="24" t="s">
        <v>31</v>
      </c>
      <c r="B28" s="26">
        <v>15.69145</v>
      </c>
      <c r="E28" s="26"/>
    </row>
    <row r="29">
      <c r="A29" s="24" t="s">
        <v>32</v>
      </c>
      <c r="B29" s="26">
        <v>31.33194</v>
      </c>
      <c r="C29" s="26"/>
      <c r="D29" s="26"/>
      <c r="E29" s="26"/>
    </row>
    <row r="30">
      <c r="A30" s="26"/>
      <c r="B30" s="26"/>
      <c r="C30" s="26"/>
      <c r="D30" s="26"/>
      <c r="E30" s="26"/>
    </row>
    <row r="31">
      <c r="A31" s="26"/>
      <c r="B31" s="26"/>
      <c r="C31" s="26"/>
      <c r="D31" s="26"/>
      <c r="E31" s="26"/>
    </row>
    <row r="32">
      <c r="A32" s="26"/>
      <c r="B32" s="26"/>
      <c r="C32" s="26"/>
      <c r="D32" s="26"/>
      <c r="E32" s="26"/>
    </row>
    <row r="33">
      <c r="A33" s="26"/>
      <c r="B33" s="26"/>
      <c r="C33" s="26"/>
      <c r="D33" s="26"/>
      <c r="E33" s="26"/>
    </row>
    <row r="34">
      <c r="A34" s="26"/>
      <c r="B34" s="26"/>
      <c r="C34" s="26"/>
      <c r="D34" s="26"/>
      <c r="E34" s="26"/>
    </row>
    <row r="35">
      <c r="A35" s="26"/>
      <c r="B35" s="26"/>
      <c r="C35" s="26"/>
      <c r="D35" s="26"/>
      <c r="E35" s="26"/>
    </row>
    <row r="36">
      <c r="A36" s="26"/>
      <c r="B36" s="26"/>
      <c r="C36" s="26"/>
      <c r="D36" s="26"/>
      <c r="E36" s="26"/>
    </row>
    <row r="37">
      <c r="A37" s="26"/>
    </row>
    <row r="39">
      <c r="A39" s="26"/>
    </row>
    <row r="40">
      <c r="A40" s="26"/>
    </row>
    <row r="41">
      <c r="A41" s="26"/>
    </row>
    <row r="42">
      <c r="A42" s="26"/>
    </row>
    <row r="44">
      <c r="A44" s="26"/>
      <c r="B44" s="26"/>
      <c r="C44" s="26"/>
      <c r="D44" s="26"/>
      <c r="E44" s="26"/>
    </row>
    <row r="45">
      <c r="D45" s="26"/>
      <c r="E45" s="26"/>
    </row>
    <row r="46">
      <c r="A46" s="26"/>
      <c r="B46" s="24"/>
      <c r="D46" s="26"/>
      <c r="E46" s="26"/>
    </row>
    <row r="47">
      <c r="A47" s="26"/>
      <c r="B47" s="24"/>
      <c r="D47" s="26"/>
      <c r="E47" s="26"/>
    </row>
    <row r="48">
      <c r="B48" s="24"/>
      <c r="D48" s="26"/>
      <c r="E48" s="26"/>
    </row>
    <row r="49">
      <c r="A49" s="26"/>
      <c r="B49" s="24"/>
      <c r="D49" s="26"/>
      <c r="E49" s="26"/>
    </row>
    <row r="50">
      <c r="A50" s="26"/>
      <c r="B50" s="24"/>
      <c r="D50" s="26"/>
      <c r="E50" s="26"/>
    </row>
    <row r="51">
      <c r="A51" s="26"/>
      <c r="B51" s="24"/>
      <c r="D51" s="26"/>
      <c r="E51" s="26"/>
    </row>
    <row r="52">
      <c r="A52" s="26"/>
      <c r="B52" s="26"/>
      <c r="C52" s="26"/>
      <c r="D52" s="26"/>
      <c r="E52" s="26"/>
    </row>
    <row r="53">
      <c r="D53" s="26"/>
      <c r="E53" s="26"/>
    </row>
    <row r="54">
      <c r="A54" s="26"/>
      <c r="B54" s="24"/>
      <c r="D54" s="26"/>
      <c r="E54" s="26"/>
    </row>
    <row r="55">
      <c r="A55" s="26"/>
      <c r="B55" s="24"/>
      <c r="D55" s="26"/>
      <c r="E55" s="26"/>
    </row>
    <row r="56">
      <c r="A56" s="26"/>
      <c r="B56" s="24"/>
      <c r="D56" s="26"/>
      <c r="E56" s="26"/>
    </row>
    <row r="57">
      <c r="A57" s="26"/>
      <c r="B57" s="24"/>
      <c r="D57" s="26"/>
      <c r="E57" s="26"/>
    </row>
    <row r="58">
      <c r="A58" s="26"/>
      <c r="B58" s="24"/>
      <c r="D58" s="26"/>
      <c r="E58" s="26"/>
    </row>
    <row r="59">
      <c r="A59" s="26"/>
      <c r="B59" s="24"/>
      <c r="D59" s="26"/>
      <c r="E59" s="26"/>
    </row>
    <row r="60">
      <c r="A60" s="26"/>
      <c r="B60" s="26"/>
      <c r="C60" s="26"/>
      <c r="D60" s="26"/>
      <c r="E60" s="26"/>
    </row>
    <row r="61">
      <c r="A61" s="26"/>
      <c r="B61" s="26"/>
      <c r="C61" s="26"/>
      <c r="D61" s="26"/>
      <c r="E61" s="26"/>
    </row>
    <row r="62">
      <c r="A62" s="26"/>
      <c r="B62" s="26"/>
      <c r="C62" s="26"/>
      <c r="D62" s="26"/>
      <c r="E62" s="26"/>
    </row>
    <row r="63">
      <c r="A63" s="26"/>
      <c r="B63" s="26"/>
      <c r="C63" s="26"/>
      <c r="D63" s="26"/>
      <c r="E63" s="26"/>
    </row>
    <row r="64">
      <c r="A64" s="26"/>
      <c r="B64" s="26"/>
      <c r="C64" s="26"/>
      <c r="D64" s="26"/>
      <c r="E64" s="26"/>
    </row>
    <row r="65">
      <c r="A65" s="26"/>
      <c r="B65" s="26"/>
      <c r="C65" s="26"/>
      <c r="D65" s="26"/>
      <c r="E65" s="26"/>
    </row>
    <row r="66">
      <c r="A66" s="26"/>
      <c r="B66" s="26"/>
      <c r="C66" s="26"/>
      <c r="D66" s="26"/>
      <c r="E66" s="26"/>
    </row>
    <row r="67">
      <c r="A67" s="26"/>
      <c r="B67" s="26"/>
      <c r="C67" s="26"/>
      <c r="D67" s="26"/>
      <c r="E67" s="26"/>
    </row>
  </sheetData>
  <mergeCells count="4">
    <mergeCell ref="A2:C2"/>
    <mergeCell ref="A4:B4"/>
    <mergeCell ref="A13:B13"/>
    <mergeCell ref="A22:B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4" t="s">
        <v>35</v>
      </c>
      <c r="B3" s="4" t="s">
        <v>36</v>
      </c>
      <c r="C3" s="4" t="s">
        <v>37</v>
      </c>
      <c r="D3" s="4" t="s">
        <v>38</v>
      </c>
    </row>
    <row r="4">
      <c r="A4" s="27" t="s">
        <v>27</v>
      </c>
      <c r="B4" s="26">
        <f>832.4*100</f>
        <v>83240</v>
      </c>
      <c r="C4" s="26">
        <f>128.5*1000</f>
        <v>128500</v>
      </c>
      <c r="D4" s="21">
        <f>63.5
*2000</f>
        <v>127000</v>
      </c>
    </row>
    <row r="5">
      <c r="A5" s="27" t="s">
        <v>28</v>
      </c>
      <c r="B5" s="26">
        <f>781
*100</f>
        <v>78100</v>
      </c>
      <c r="C5" s="4">
        <f>62.4
*1000</f>
        <v>62400</v>
      </c>
      <c r="D5" s="21">
        <f>39.6
*2000</f>
        <v>79200</v>
      </c>
    </row>
    <row r="6">
      <c r="A6" s="27" t="s">
        <v>29</v>
      </c>
      <c r="B6" s="4">
        <f>177.3
*100</f>
        <v>17730</v>
      </c>
      <c r="C6" s="26">
        <v>18000.0</v>
      </c>
      <c r="D6" s="21">
        <f>15.3
*2000</f>
        <v>30600</v>
      </c>
    </row>
    <row r="7">
      <c r="A7" s="27" t="s">
        <v>30</v>
      </c>
      <c r="B7" s="26">
        <f>170.6*100</f>
        <v>17060</v>
      </c>
      <c r="C7" s="26">
        <f>18*1000</f>
        <v>18000</v>
      </c>
      <c r="D7" s="21">
        <f>5.7
*2000</f>
        <v>11400</v>
      </c>
    </row>
    <row r="8">
      <c r="A8" s="27" t="s">
        <v>31</v>
      </c>
      <c r="B8" s="4">
        <f>90.6*100</f>
        <v>9060</v>
      </c>
      <c r="C8" s="4">
        <f>6.6
*1000</f>
        <v>6600</v>
      </c>
      <c r="D8" s="21">
        <f>3.3
*2000</f>
        <v>6600</v>
      </c>
    </row>
    <row r="9">
      <c r="A9" s="27" t="s">
        <v>32</v>
      </c>
      <c r="B9" s="4">
        <v>5970.0</v>
      </c>
      <c r="C9" s="4">
        <f>3.3
*1000</f>
        <v>3300</v>
      </c>
      <c r="D9" s="4">
        <f>2.5*2000</f>
        <v>5000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28" t="s">
        <v>39</v>
      </c>
      <c r="G1" s="29" t="s">
        <v>40</v>
      </c>
      <c r="J1" s="4" t="s">
        <v>41</v>
      </c>
      <c r="Q1" s="4" t="s">
        <v>41</v>
      </c>
    </row>
    <row r="2">
      <c r="A2" s="4" t="s">
        <v>42</v>
      </c>
      <c r="G2" s="4" t="s">
        <v>43</v>
      </c>
      <c r="J2" s="4">
        <f> 2*3.14*70/60</f>
        <v>7.326666667</v>
      </c>
      <c r="Q2" s="4">
        <f> 2*3.14*70/60</f>
        <v>7.326666667</v>
      </c>
    </row>
    <row r="3">
      <c r="A3" s="4" t="s">
        <v>44</v>
      </c>
      <c r="B3" s="4">
        <v>393.5</v>
      </c>
      <c r="G3" s="4" t="s">
        <v>45</v>
      </c>
      <c r="L3" s="4" t="s">
        <v>46</v>
      </c>
      <c r="M3" s="4" t="s">
        <v>47</v>
      </c>
      <c r="N3" s="4" t="s">
        <v>48</v>
      </c>
    </row>
    <row r="4">
      <c r="A4" s="30" t="s">
        <v>49</v>
      </c>
      <c r="C4" s="4"/>
      <c r="D4" s="31" t="s">
        <v>50</v>
      </c>
      <c r="L4" s="4" t="s">
        <v>51</v>
      </c>
    </row>
    <row r="5">
      <c r="A5" s="30" t="s">
        <v>52</v>
      </c>
      <c r="B5" s="30" t="s">
        <v>53</v>
      </c>
      <c r="C5" s="30" t="s">
        <v>54</v>
      </c>
      <c r="D5" s="30" t="s">
        <v>55</v>
      </c>
      <c r="E5" s="4" t="s">
        <v>56</v>
      </c>
      <c r="F5" s="4" t="s">
        <v>57</v>
      </c>
      <c r="G5" s="4" t="s">
        <v>58</v>
      </c>
      <c r="H5" s="4" t="s">
        <v>59</v>
      </c>
      <c r="I5" s="4" t="s">
        <v>60</v>
      </c>
      <c r="J5" s="4" t="s">
        <v>61</v>
      </c>
      <c r="L5" s="30" t="s">
        <v>62</v>
      </c>
      <c r="M5" s="30" t="s">
        <v>52</v>
      </c>
      <c r="N5" s="30" t="s">
        <v>63</v>
      </c>
      <c r="O5" s="30" t="s">
        <v>64</v>
      </c>
      <c r="P5" s="30" t="s">
        <v>65</v>
      </c>
      <c r="Q5" s="30" t="s">
        <v>66</v>
      </c>
      <c r="R5" s="4" t="s">
        <v>67</v>
      </c>
      <c r="S5" s="4" t="s">
        <v>68</v>
      </c>
      <c r="T5" s="4" t="s">
        <v>60</v>
      </c>
      <c r="U5" s="4" t="s">
        <v>69</v>
      </c>
    </row>
    <row r="6">
      <c r="A6" s="4">
        <v>65535.0</v>
      </c>
      <c r="B6" s="4">
        <v>1000.0</v>
      </c>
      <c r="C6" s="4">
        <v>551.0</v>
      </c>
      <c r="D6" s="21">
        <f t="shared" ref="D6:D9" si="1">C6-393.5</f>
        <v>157.5</v>
      </c>
      <c r="E6" s="21">
        <f t="shared" ref="E6:E9" si="2">D6/0.993048</f>
        <v>158.6026053</v>
      </c>
      <c r="F6" s="21">
        <f t="shared" ref="F6:F9" si="3">E6*111.27/10</f>
        <v>1764.771189</v>
      </c>
      <c r="G6" s="21">
        <f t="shared" ref="G6:G9" si="4">F6/0.7</f>
        <v>2521.101699</v>
      </c>
      <c r="H6" s="21">
        <f t="shared" ref="H6:H9" si="5">12*G6</f>
        <v>30253.22039</v>
      </c>
      <c r="I6" s="21">
        <f t="shared" ref="I6:I9" si="6">F6*$J$2</f>
        <v>12929.89025</v>
      </c>
      <c r="J6" s="21">
        <f t="shared" ref="J6:J9" si="7">I6/H6*100</f>
        <v>42.73888889</v>
      </c>
      <c r="L6" s="4">
        <v>10.0</v>
      </c>
      <c r="M6" s="21">
        <f t="shared" ref="M6:M15" si="8">65535*L6%</f>
        <v>6553.5</v>
      </c>
      <c r="N6" s="26">
        <v>0.0</v>
      </c>
      <c r="O6" s="21">
        <f t="shared" ref="O6:O15" si="9">ABS(N6)</f>
        <v>0</v>
      </c>
      <c r="P6" s="26">
        <v>5.414828</v>
      </c>
      <c r="Q6" s="4" t="s">
        <v>70</v>
      </c>
      <c r="R6" s="21">
        <f t="shared" ref="R6:R15" si="10">0.7*P6</f>
        <v>3.7903796</v>
      </c>
      <c r="S6" s="21">
        <f t="shared" ref="S6:S15" si="11">12*P6</f>
        <v>64.977936</v>
      </c>
      <c r="T6" s="21">
        <f>Q2*R6</f>
        <v>27.77084787</v>
      </c>
      <c r="U6" s="21">
        <f t="shared" ref="U6:U15" si="12">T6/S6*100</f>
        <v>42.73888889</v>
      </c>
    </row>
    <row r="7">
      <c r="A7" s="4">
        <v>49151.0</v>
      </c>
      <c r="B7" s="4">
        <v>1000.0</v>
      </c>
      <c r="C7" s="4">
        <v>521.0</v>
      </c>
      <c r="D7" s="21">
        <f t="shared" si="1"/>
        <v>127.5</v>
      </c>
      <c r="E7" s="21">
        <f t="shared" si="2"/>
        <v>128.3925853</v>
      </c>
      <c r="F7" s="21">
        <f t="shared" si="3"/>
        <v>1428.624296</v>
      </c>
      <c r="G7" s="21">
        <f t="shared" si="4"/>
        <v>2040.891852</v>
      </c>
      <c r="H7" s="21">
        <f t="shared" si="5"/>
        <v>24490.70222</v>
      </c>
      <c r="I7" s="21">
        <f t="shared" si="6"/>
        <v>10467.05401</v>
      </c>
      <c r="J7" s="21">
        <f t="shared" si="7"/>
        <v>42.73888889</v>
      </c>
      <c r="L7" s="4">
        <v>20.0</v>
      </c>
      <c r="M7" s="21">
        <f t="shared" si="8"/>
        <v>13107</v>
      </c>
      <c r="N7" s="26">
        <v>0.0</v>
      </c>
      <c r="O7" s="21">
        <f t="shared" si="9"/>
        <v>0</v>
      </c>
      <c r="P7" s="26">
        <v>5.22337</v>
      </c>
      <c r="Q7" s="4" t="s">
        <v>70</v>
      </c>
      <c r="R7" s="21">
        <f t="shared" si="10"/>
        <v>3.656359</v>
      </c>
      <c r="S7" s="21">
        <f t="shared" si="11"/>
        <v>62.68044</v>
      </c>
      <c r="T7" s="21">
        <f>Q2*R7</f>
        <v>26.78892361</v>
      </c>
      <c r="U7" s="21">
        <f t="shared" si="12"/>
        <v>42.73888889</v>
      </c>
    </row>
    <row r="8">
      <c r="A8" s="4">
        <v>32768.0</v>
      </c>
      <c r="B8" s="4">
        <v>1000.0</v>
      </c>
      <c r="C8" s="4">
        <v>442.5</v>
      </c>
      <c r="D8" s="21">
        <f t="shared" si="1"/>
        <v>49</v>
      </c>
      <c r="E8" s="21">
        <f t="shared" si="2"/>
        <v>49.34303276</v>
      </c>
      <c r="F8" s="21">
        <f t="shared" si="3"/>
        <v>549.0399256</v>
      </c>
      <c r="G8" s="21">
        <f t="shared" si="4"/>
        <v>784.3427508</v>
      </c>
      <c r="H8" s="21">
        <f t="shared" si="5"/>
        <v>9412.11301</v>
      </c>
      <c r="I8" s="21">
        <f t="shared" si="6"/>
        <v>4022.632521</v>
      </c>
      <c r="J8" s="21">
        <f t="shared" si="7"/>
        <v>42.73888889</v>
      </c>
      <c r="L8" s="4">
        <v>30.0</v>
      </c>
      <c r="M8" s="21">
        <f t="shared" si="8"/>
        <v>19660.5</v>
      </c>
      <c r="N8" s="26">
        <v>0.0</v>
      </c>
      <c r="O8" s="21">
        <f t="shared" si="9"/>
        <v>0</v>
      </c>
      <c r="P8" s="26">
        <v>5.022594</v>
      </c>
      <c r="Q8" s="4" t="s">
        <v>70</v>
      </c>
      <c r="R8" s="21">
        <f t="shared" si="10"/>
        <v>3.5158158</v>
      </c>
      <c r="S8" s="21">
        <f t="shared" si="11"/>
        <v>60.271128</v>
      </c>
      <c r="T8" s="21">
        <f>Q2*R8</f>
        <v>25.75921043</v>
      </c>
      <c r="U8" s="21">
        <f t="shared" si="12"/>
        <v>42.73888889</v>
      </c>
    </row>
    <row r="9">
      <c r="A9" s="4">
        <v>16384.0</v>
      </c>
      <c r="B9" s="4">
        <v>1000.0</v>
      </c>
      <c r="C9" s="4">
        <v>403.5</v>
      </c>
      <c r="D9" s="21">
        <f t="shared" si="1"/>
        <v>10</v>
      </c>
      <c r="E9" s="21">
        <f t="shared" si="2"/>
        <v>10.07000669</v>
      </c>
      <c r="F9" s="21">
        <f t="shared" si="3"/>
        <v>112.0489644</v>
      </c>
      <c r="G9" s="21">
        <f t="shared" si="4"/>
        <v>160.0699491</v>
      </c>
      <c r="H9" s="21">
        <f t="shared" si="5"/>
        <v>1920.83939</v>
      </c>
      <c r="I9" s="21">
        <f t="shared" si="6"/>
        <v>820.9454125</v>
      </c>
      <c r="J9" s="21">
        <f t="shared" si="7"/>
        <v>42.73888889</v>
      </c>
      <c r="L9" s="4">
        <v>40.0</v>
      </c>
      <c r="M9" s="21">
        <f t="shared" si="8"/>
        <v>26214</v>
      </c>
      <c r="N9" s="26">
        <v>-57.979</v>
      </c>
      <c r="O9" s="21">
        <f t="shared" si="9"/>
        <v>57.979</v>
      </c>
      <c r="P9" s="26">
        <v>5.31685</v>
      </c>
      <c r="Q9" s="4" t="s">
        <v>71</v>
      </c>
      <c r="R9" s="21">
        <f t="shared" si="10"/>
        <v>3.721795</v>
      </c>
      <c r="S9" s="21">
        <f t="shared" si="11"/>
        <v>63.8022</v>
      </c>
      <c r="T9" s="21">
        <f>Q2*R9</f>
        <v>27.26835137</v>
      </c>
      <c r="U9" s="21">
        <f t="shared" si="12"/>
        <v>42.73888889</v>
      </c>
    </row>
    <row r="10">
      <c r="A10" s="4"/>
      <c r="B10" s="4"/>
      <c r="C10" s="4"/>
      <c r="D10" s="31" t="s">
        <v>50</v>
      </c>
      <c r="L10" s="4">
        <v>50.0</v>
      </c>
      <c r="M10" s="21">
        <f t="shared" si="8"/>
        <v>32767.5</v>
      </c>
      <c r="N10" s="26">
        <v>-85.4421</v>
      </c>
      <c r="O10" s="21">
        <f t="shared" si="9"/>
        <v>85.4421</v>
      </c>
      <c r="P10" s="26">
        <v>5.313011</v>
      </c>
      <c r="Q10" s="4" t="s">
        <v>71</v>
      </c>
      <c r="R10" s="21">
        <f t="shared" si="10"/>
        <v>3.7191077</v>
      </c>
      <c r="S10" s="21">
        <f t="shared" si="11"/>
        <v>63.756132</v>
      </c>
      <c r="T10" s="21">
        <f>Q2*R10</f>
        <v>27.24866242</v>
      </c>
      <c r="U10" s="21">
        <f t="shared" si="12"/>
        <v>42.73888889</v>
      </c>
    </row>
    <row r="11">
      <c r="A11" s="30" t="s">
        <v>72</v>
      </c>
      <c r="L11" s="4">
        <v>60.0</v>
      </c>
      <c r="M11" s="21">
        <f t="shared" si="8"/>
        <v>39321</v>
      </c>
      <c r="N11" s="26">
        <v>-111.652</v>
      </c>
      <c r="O11" s="21">
        <f t="shared" si="9"/>
        <v>111.652</v>
      </c>
      <c r="P11" s="26">
        <v>5.294932</v>
      </c>
      <c r="Q11" s="4" t="s">
        <v>71</v>
      </c>
      <c r="R11" s="21">
        <f t="shared" si="10"/>
        <v>3.7064524</v>
      </c>
      <c r="S11" s="21">
        <f t="shared" si="11"/>
        <v>63.539184</v>
      </c>
      <c r="T11" s="21">
        <f>Q2*R11</f>
        <v>27.15594125</v>
      </c>
      <c r="U11" s="21">
        <f t="shared" si="12"/>
        <v>42.73888889</v>
      </c>
    </row>
    <row r="12">
      <c r="A12" s="30" t="s">
        <v>52</v>
      </c>
      <c r="B12" s="30" t="s">
        <v>53</v>
      </c>
      <c r="C12" s="30" t="s">
        <v>54</v>
      </c>
      <c r="D12" s="30" t="s">
        <v>55</v>
      </c>
      <c r="E12" s="4" t="s">
        <v>56</v>
      </c>
      <c r="F12" s="4" t="s">
        <v>67</v>
      </c>
      <c r="G12" s="4" t="s">
        <v>73</v>
      </c>
      <c r="H12" s="4" t="s">
        <v>59</v>
      </c>
      <c r="I12" s="4" t="s">
        <v>60</v>
      </c>
      <c r="J12" s="4" t="s">
        <v>61</v>
      </c>
      <c r="L12" s="4">
        <v>70.0</v>
      </c>
      <c r="M12" s="21">
        <f t="shared" si="8"/>
        <v>45874.5</v>
      </c>
      <c r="N12" s="26">
        <v>-136.947</v>
      </c>
      <c r="O12" s="21">
        <f t="shared" si="9"/>
        <v>136.947</v>
      </c>
      <c r="P12" s="26">
        <v>5.273223</v>
      </c>
      <c r="Q12" s="4" t="s">
        <v>71</v>
      </c>
      <c r="R12" s="21">
        <f t="shared" si="10"/>
        <v>3.6912561</v>
      </c>
      <c r="S12" s="21">
        <f t="shared" si="11"/>
        <v>63.278676</v>
      </c>
      <c r="T12" s="21">
        <f>Q2*R12</f>
        <v>27.04460303</v>
      </c>
      <c r="U12" s="21">
        <f t="shared" si="12"/>
        <v>42.73888889</v>
      </c>
    </row>
    <row r="13">
      <c r="A13" s="4">
        <v>65535.0</v>
      </c>
      <c r="B13" s="4">
        <v>0.0</v>
      </c>
      <c r="C13" s="32" t="s">
        <v>70</v>
      </c>
      <c r="D13" s="4">
        <v>0.0</v>
      </c>
      <c r="E13" s="21">
        <f t="shared" ref="E13:E19" si="13">D13/0.993048</f>
        <v>0</v>
      </c>
      <c r="F13" s="21">
        <f t="shared" ref="F13:F19" si="14">E13*111.27/10</f>
        <v>0</v>
      </c>
      <c r="G13" s="21">
        <f t="shared" ref="G13:G19" si="15">F13/0.7</f>
        <v>0</v>
      </c>
      <c r="H13" s="21">
        <f t="shared" ref="H13:H19" si="16">12*G13</f>
        <v>0</v>
      </c>
      <c r="I13" s="21">
        <f t="shared" ref="I13:I19" si="17">F13*$J$2</f>
        <v>0</v>
      </c>
      <c r="J13" s="4" t="s">
        <v>74</v>
      </c>
      <c r="L13" s="4">
        <v>80.0</v>
      </c>
      <c r="M13" s="21">
        <f t="shared" si="8"/>
        <v>52428</v>
      </c>
      <c r="N13" s="26">
        <v>-161.774</v>
      </c>
      <c r="O13" s="21">
        <f t="shared" si="9"/>
        <v>161.774</v>
      </c>
      <c r="P13" s="26">
        <v>5.249315</v>
      </c>
      <c r="Q13" s="4" t="s">
        <v>71</v>
      </c>
      <c r="R13" s="21">
        <f t="shared" si="10"/>
        <v>3.6745205</v>
      </c>
      <c r="S13" s="21">
        <f t="shared" si="11"/>
        <v>62.99178</v>
      </c>
      <c r="T13" s="21">
        <f>Q2*R13</f>
        <v>26.92198686</v>
      </c>
      <c r="U13" s="21">
        <f t="shared" si="12"/>
        <v>42.73888889</v>
      </c>
    </row>
    <row r="14">
      <c r="A14" s="4">
        <v>65535.0</v>
      </c>
      <c r="B14" s="4">
        <v>1.0</v>
      </c>
      <c r="C14" s="32">
        <v>578.8</v>
      </c>
      <c r="D14" s="21">
        <f t="shared" ref="D14:D19" si="18">C14-$B$3</f>
        <v>185.3</v>
      </c>
      <c r="E14" s="21">
        <f t="shared" si="13"/>
        <v>186.5972239</v>
      </c>
      <c r="F14" s="21">
        <f t="shared" si="14"/>
        <v>2076.26731</v>
      </c>
      <c r="G14" s="21">
        <f t="shared" si="15"/>
        <v>2966.096158</v>
      </c>
      <c r="H14" s="21">
        <f t="shared" si="16"/>
        <v>35593.15389</v>
      </c>
      <c r="I14" s="21">
        <f t="shared" si="17"/>
        <v>15212.11849</v>
      </c>
      <c r="J14" s="21">
        <f t="shared" ref="J14:J19" si="19">I14/H14*100</f>
        <v>42.73888889</v>
      </c>
      <c r="L14" s="4">
        <v>90.0</v>
      </c>
      <c r="M14" s="21">
        <f t="shared" si="8"/>
        <v>58981.5</v>
      </c>
      <c r="N14" s="26">
        <v>-188.235</v>
      </c>
      <c r="O14" s="21">
        <f t="shared" si="9"/>
        <v>188.235</v>
      </c>
      <c r="P14" s="26">
        <v>5.23839</v>
      </c>
      <c r="Q14" s="4" t="s">
        <v>71</v>
      </c>
      <c r="R14" s="21">
        <f t="shared" si="10"/>
        <v>3.666873</v>
      </c>
      <c r="S14" s="21">
        <f t="shared" si="11"/>
        <v>62.86068</v>
      </c>
      <c r="T14" s="21">
        <f>Q2*R14</f>
        <v>26.86595618</v>
      </c>
      <c r="U14" s="21">
        <f t="shared" si="12"/>
        <v>42.73888889</v>
      </c>
    </row>
    <row r="15">
      <c r="A15" s="4">
        <v>65535.0</v>
      </c>
      <c r="B15" s="4">
        <v>10.0</v>
      </c>
      <c r="C15" s="32">
        <v>546.6</v>
      </c>
      <c r="D15" s="21">
        <f t="shared" si="18"/>
        <v>153.1</v>
      </c>
      <c r="E15" s="21">
        <f t="shared" si="13"/>
        <v>154.1718024</v>
      </c>
      <c r="F15" s="21">
        <f t="shared" si="14"/>
        <v>1715.469645</v>
      </c>
      <c r="G15" s="21">
        <f t="shared" si="15"/>
        <v>2450.670921</v>
      </c>
      <c r="H15" s="21">
        <f t="shared" si="16"/>
        <v>29408.05106</v>
      </c>
      <c r="I15" s="21">
        <f t="shared" si="17"/>
        <v>12568.67427</v>
      </c>
      <c r="J15" s="21">
        <f t="shared" si="19"/>
        <v>42.73888889</v>
      </c>
      <c r="L15" s="4">
        <v>100.0</v>
      </c>
      <c r="M15" s="21">
        <f t="shared" si="8"/>
        <v>65535</v>
      </c>
      <c r="N15" s="26">
        <v>-213.715</v>
      </c>
      <c r="O15" s="21">
        <f t="shared" si="9"/>
        <v>213.715</v>
      </c>
      <c r="P15" s="26">
        <v>5.21915</v>
      </c>
      <c r="Q15" s="4" t="s">
        <v>71</v>
      </c>
      <c r="R15" s="21">
        <f t="shared" si="10"/>
        <v>3.653405</v>
      </c>
      <c r="S15" s="21">
        <f t="shared" si="11"/>
        <v>62.6298</v>
      </c>
      <c r="T15" s="21">
        <f>Q2*R15</f>
        <v>26.76728063</v>
      </c>
      <c r="U15" s="21">
        <f t="shared" si="12"/>
        <v>42.73888889</v>
      </c>
    </row>
    <row r="16">
      <c r="A16" s="4">
        <v>65535.0</v>
      </c>
      <c r="B16" s="4">
        <v>100.0</v>
      </c>
      <c r="C16" s="32">
        <v>550.3</v>
      </c>
      <c r="D16" s="21">
        <f t="shared" si="18"/>
        <v>156.8</v>
      </c>
      <c r="E16" s="21">
        <f t="shared" si="13"/>
        <v>157.8977048</v>
      </c>
      <c r="F16" s="21">
        <f t="shared" si="14"/>
        <v>1756.927762</v>
      </c>
      <c r="G16" s="21">
        <f t="shared" si="15"/>
        <v>2509.896803</v>
      </c>
      <c r="H16" s="21">
        <f t="shared" si="16"/>
        <v>30118.76163</v>
      </c>
      <c r="I16" s="21">
        <f t="shared" si="17"/>
        <v>12872.42407</v>
      </c>
      <c r="J16" s="21">
        <f t="shared" si="19"/>
        <v>42.73888889</v>
      </c>
    </row>
    <row r="17">
      <c r="A17" s="4">
        <v>65535.0</v>
      </c>
      <c r="B17" s="4">
        <v>1000.0</v>
      </c>
      <c r="C17" s="32">
        <v>552.3</v>
      </c>
      <c r="D17" s="21">
        <f t="shared" si="18"/>
        <v>158.8</v>
      </c>
      <c r="E17" s="21">
        <f t="shared" si="13"/>
        <v>159.9117062</v>
      </c>
      <c r="F17" s="21">
        <f t="shared" si="14"/>
        <v>1779.337555</v>
      </c>
      <c r="G17" s="21">
        <f t="shared" si="15"/>
        <v>2541.910792</v>
      </c>
      <c r="H17" s="21">
        <f t="shared" si="16"/>
        <v>30502.92951</v>
      </c>
      <c r="I17" s="21">
        <f t="shared" si="17"/>
        <v>13036.61315</v>
      </c>
      <c r="J17" s="21">
        <f t="shared" si="19"/>
        <v>42.73888889</v>
      </c>
    </row>
    <row r="18">
      <c r="A18" s="4">
        <v>65535.0</v>
      </c>
      <c r="B18" s="4">
        <v>10000.0</v>
      </c>
      <c r="C18" s="32">
        <v>556.2</v>
      </c>
      <c r="D18" s="21">
        <f t="shared" si="18"/>
        <v>162.7</v>
      </c>
      <c r="E18" s="21">
        <f t="shared" si="13"/>
        <v>163.8390088</v>
      </c>
      <c r="F18" s="21">
        <f t="shared" si="14"/>
        <v>1823.036651</v>
      </c>
      <c r="G18" s="21">
        <f t="shared" si="15"/>
        <v>2604.338073</v>
      </c>
      <c r="H18" s="21">
        <f t="shared" si="16"/>
        <v>31252.05687</v>
      </c>
      <c r="I18" s="21">
        <f t="shared" si="17"/>
        <v>13356.78186</v>
      </c>
      <c r="J18" s="21">
        <f t="shared" si="19"/>
        <v>42.73888889</v>
      </c>
    </row>
    <row r="19">
      <c r="A19" s="4">
        <v>65535.0</v>
      </c>
      <c r="B19" s="4">
        <v>100000.0</v>
      </c>
      <c r="C19" s="32">
        <v>566.5</v>
      </c>
      <c r="D19" s="21">
        <f t="shared" si="18"/>
        <v>173</v>
      </c>
      <c r="E19" s="21">
        <f t="shared" si="13"/>
        <v>174.2111157</v>
      </c>
      <c r="F19" s="21">
        <f t="shared" si="14"/>
        <v>1938.447084</v>
      </c>
      <c r="G19" s="21">
        <f t="shared" si="15"/>
        <v>2769.21012</v>
      </c>
      <c r="H19" s="21">
        <f t="shared" si="16"/>
        <v>33230.52144</v>
      </c>
      <c r="I19" s="21">
        <f t="shared" si="17"/>
        <v>14202.35564</v>
      </c>
      <c r="J19" s="21">
        <f t="shared" si="19"/>
        <v>42.73888889</v>
      </c>
    </row>
    <row r="20">
      <c r="B20" s="27"/>
      <c r="D20" s="9"/>
    </row>
    <row r="21">
      <c r="A21" s="4"/>
      <c r="B21" s="27"/>
    </row>
    <row r="22">
      <c r="A22" s="4" t="s">
        <v>75</v>
      </c>
      <c r="B22" s="27"/>
    </row>
    <row r="23">
      <c r="A23" s="4" t="s">
        <v>76</v>
      </c>
      <c r="J23" s="33"/>
      <c r="K23" s="33"/>
      <c r="L23" s="33"/>
    </row>
    <row r="24">
      <c r="A24" s="4" t="s">
        <v>77</v>
      </c>
      <c r="J24" s="34"/>
    </row>
    <row r="25">
      <c r="J25" s="23"/>
      <c r="K25" s="23"/>
      <c r="L25" s="23"/>
    </row>
    <row r="26">
      <c r="A26" s="30" t="s">
        <v>75</v>
      </c>
      <c r="B26" s="35" t="s">
        <v>54</v>
      </c>
      <c r="J26" s="33"/>
      <c r="K26" s="33"/>
      <c r="L26" s="33"/>
    </row>
    <row r="27">
      <c r="A27" s="4">
        <v>0.1</v>
      </c>
      <c r="B27" s="25">
        <v>676.541</v>
      </c>
      <c r="J27" s="33"/>
      <c r="K27" s="33"/>
      <c r="L27" s="33"/>
    </row>
    <row r="28">
      <c r="A28" s="4">
        <v>0.5</v>
      </c>
      <c r="B28" s="25">
        <v>611.3017</v>
      </c>
      <c r="J28" s="33"/>
      <c r="K28" s="33"/>
      <c r="L28" s="33"/>
    </row>
    <row r="29">
      <c r="A29" s="4">
        <v>1.0</v>
      </c>
      <c r="B29" s="25">
        <v>611.938</v>
      </c>
      <c r="J29" s="33"/>
      <c r="K29" s="33"/>
      <c r="L29" s="33"/>
    </row>
    <row r="30">
      <c r="A30" s="4">
        <v>5.0</v>
      </c>
      <c r="B30" s="25">
        <v>620.6249</v>
      </c>
      <c r="J30" s="33"/>
      <c r="K30" s="33"/>
      <c r="L30" s="33"/>
    </row>
    <row r="31">
      <c r="A31" s="4">
        <v>10.0</v>
      </c>
      <c r="B31" s="25">
        <v>631.8213</v>
      </c>
    </row>
    <row r="32">
      <c r="A32" s="4">
        <v>100.0</v>
      </c>
      <c r="B32" s="25">
        <v>614.3</v>
      </c>
    </row>
    <row r="33">
      <c r="B33" s="32"/>
    </row>
    <row r="34">
      <c r="B34" s="32"/>
    </row>
    <row r="35">
      <c r="A35" s="4" t="s">
        <v>78</v>
      </c>
    </row>
  </sheetData>
  <mergeCells count="6">
    <mergeCell ref="A2:B2"/>
    <mergeCell ref="A4:B4"/>
    <mergeCell ref="L4:P4"/>
    <mergeCell ref="A11:D11"/>
    <mergeCell ref="J24:L24"/>
    <mergeCell ref="A35:C3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