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HP ELITEBOOK 840 G3\Desktop\Python\CFA_application\"/>
    </mc:Choice>
  </mc:AlternateContent>
  <xr:revisionPtr revIDLastSave="0" documentId="13_ncr:1_{FABC56A1-175A-41A3-AED7-845A76B3E5CD}" xr6:coauthVersionLast="47" xr6:coauthVersionMax="47" xr10:uidLastSave="{00000000-0000-0000-0000-000000000000}"/>
  <bookViews>
    <workbookView xWindow="-110" yWindow="-110" windowWidth="19420" windowHeight="10420" firstSheet="1" activeTab="4" xr2:uid="{00000000-000D-0000-FFFF-FFFF00000000}"/>
  </bookViews>
  <sheets>
    <sheet name="apps1" sheetId="5" r:id="rId1"/>
    <sheet name="apps2" sheetId="6" r:id="rId2"/>
    <sheet name="Feuil1" sheetId="1" r:id="rId3"/>
    <sheet name="Valuation" sheetId="2" r:id="rId4"/>
    <sheet name="ST" sheetId="3" r:id="rId5"/>
    <sheet name="SHC" sheetId="4" r:id="rId6"/>
    <sheet name="CG" sheetId="7" r:id="rId7"/>
    <sheet name="IU" sheetId="8" r:id="rId8"/>
    <sheet name="TR1" sheetId="9" r:id="rId9"/>
    <sheet name="TR2" sheetId="10" r:id="rId10"/>
    <sheet name="NET_Income" sheetId="11" r:id="rId11"/>
    <sheet name="FFO" sheetId="12" r:id="rId1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13" roundtripDataSignature="AMtx7mgi39ETXteFSYNfTbFbqsrM9KBI9w=="/>
    </ext>
  </extLst>
</workbook>
</file>

<file path=xl/calcChain.xml><?xml version="1.0" encoding="utf-8"?>
<calcChain xmlns="http://schemas.openxmlformats.org/spreadsheetml/2006/main">
  <c r="J102" i="2" l="1"/>
  <c r="J101" i="2"/>
  <c r="K102" i="2"/>
  <c r="L90" i="2"/>
  <c r="L88" i="2"/>
  <c r="D42" i="2"/>
  <c r="D41" i="2"/>
  <c r="G41" i="2"/>
  <c r="F41" i="2"/>
  <c r="E41" i="2"/>
  <c r="E40" i="2"/>
  <c r="F40" i="2"/>
  <c r="B91" i="2"/>
  <c r="F88" i="2"/>
  <c r="L101" i="2"/>
  <c r="L102" i="2" s="1"/>
  <c r="K101" i="2"/>
  <c r="K90" i="2"/>
  <c r="K89" i="2"/>
  <c r="L89" i="2" s="1"/>
  <c r="K88" i="2"/>
  <c r="F86" i="2"/>
  <c r="E86" i="2"/>
  <c r="D86" i="2"/>
  <c r="C86" i="2"/>
  <c r="B86" i="2"/>
  <c r="C72" i="2"/>
  <c r="C79" i="2" s="1"/>
  <c r="B72" i="2"/>
  <c r="B79" i="2" s="1"/>
  <c r="I69" i="2"/>
  <c r="H69" i="2"/>
  <c r="G69" i="2"/>
  <c r="F69" i="2"/>
  <c r="E69" i="2"/>
  <c r="D69" i="2"/>
  <c r="E66" i="2"/>
  <c r="D66" i="2"/>
  <c r="C58" i="2"/>
  <c r="B58" i="2"/>
  <c r="C53" i="2"/>
  <c r="C59" i="2" s="1"/>
  <c r="C51" i="2"/>
  <c r="B51" i="2"/>
  <c r="B53" i="2" s="1"/>
  <c r="B59" i="2" s="1"/>
  <c r="D49" i="2"/>
  <c r="E49" i="2" s="1"/>
  <c r="E51" i="2" s="1"/>
  <c r="I47" i="2"/>
  <c r="H47" i="2"/>
  <c r="G47" i="2"/>
  <c r="F47" i="2"/>
  <c r="E47" i="2"/>
  <c r="D47" i="2"/>
  <c r="F45" i="2"/>
  <c r="G45" i="2" s="1"/>
  <c r="H45" i="2" s="1"/>
  <c r="I45" i="2" s="1"/>
  <c r="E45" i="2"/>
  <c r="C42" i="2"/>
  <c r="C48" i="2" s="1"/>
  <c r="B42" i="2"/>
  <c r="B48" i="2" s="1"/>
  <c r="D38" i="2"/>
  <c r="F37" i="2"/>
  <c r="E37" i="2"/>
  <c r="E38" i="2" s="1"/>
  <c r="D37" i="2"/>
  <c r="E33" i="2"/>
  <c r="F33" i="2" s="1"/>
  <c r="G33" i="2" s="1"/>
  <c r="H33" i="2" s="1"/>
  <c r="I33" i="2" s="1"/>
  <c r="D33" i="2"/>
  <c r="D32" i="2"/>
  <c r="E32" i="2" s="1"/>
  <c r="F32" i="2" s="1"/>
  <c r="G32" i="2" s="1"/>
  <c r="H32" i="2" s="1"/>
  <c r="I32" i="2" s="1"/>
  <c r="E31" i="2"/>
  <c r="F31" i="2" s="1"/>
  <c r="G31" i="2" s="1"/>
  <c r="H31" i="2" s="1"/>
  <c r="I31" i="2" s="1"/>
  <c r="D31" i="2"/>
  <c r="D30" i="2"/>
  <c r="E30" i="2" s="1"/>
  <c r="F30" i="2" s="1"/>
  <c r="G30" i="2" s="1"/>
  <c r="H30" i="2" s="1"/>
  <c r="I30" i="2" s="1"/>
  <c r="I29" i="2"/>
  <c r="F29" i="2"/>
  <c r="G29" i="2" s="1"/>
  <c r="H29" i="2" s="1"/>
  <c r="E29" i="2"/>
  <c r="D29" i="2"/>
  <c r="H28" i="2"/>
  <c r="I28" i="2" s="1"/>
  <c r="G28" i="2"/>
  <c r="D28" i="2"/>
  <c r="E28" i="2" s="1"/>
  <c r="F28" i="2" s="1"/>
  <c r="F27" i="2"/>
  <c r="G27" i="2" s="1"/>
  <c r="H27" i="2" s="1"/>
  <c r="I27" i="2" s="1"/>
  <c r="E27" i="2"/>
  <c r="D27" i="2"/>
  <c r="G26" i="2"/>
  <c r="H26" i="2" s="1"/>
  <c r="I26" i="2" s="1"/>
  <c r="D26" i="2"/>
  <c r="E26" i="2" s="1"/>
  <c r="F26" i="2" s="1"/>
  <c r="E25" i="2"/>
  <c r="F25" i="2" s="1"/>
  <c r="G25" i="2" s="1"/>
  <c r="H25" i="2" s="1"/>
  <c r="I25" i="2" s="1"/>
  <c r="D25" i="2"/>
  <c r="D24" i="2"/>
  <c r="E24" i="2" s="1"/>
  <c r="F24" i="2" s="1"/>
  <c r="G24" i="2" s="1"/>
  <c r="H24" i="2" s="1"/>
  <c r="I24" i="2" s="1"/>
  <c r="E23" i="2"/>
  <c r="F23" i="2" s="1"/>
  <c r="G23" i="2" s="1"/>
  <c r="H23" i="2" s="1"/>
  <c r="I23" i="2" s="1"/>
  <c r="D23" i="2"/>
  <c r="D22" i="2"/>
  <c r="E22" i="2" s="1"/>
  <c r="F22" i="2" s="1"/>
  <c r="G22" i="2" s="1"/>
  <c r="H22" i="2" s="1"/>
  <c r="I22" i="2" s="1"/>
  <c r="I21" i="2"/>
  <c r="F21" i="2"/>
  <c r="G21" i="2" s="1"/>
  <c r="H21" i="2" s="1"/>
  <c r="E21" i="2"/>
  <c r="D21" i="2"/>
  <c r="D20" i="2"/>
  <c r="E20" i="2" s="1"/>
  <c r="D16" i="2"/>
  <c r="E16" i="2" s="1"/>
  <c r="F16" i="2" s="1"/>
  <c r="G16" i="2" s="1"/>
  <c r="H16" i="2" s="1"/>
  <c r="I16" i="2" s="1"/>
  <c r="E15" i="2"/>
  <c r="F15" i="2" s="1"/>
  <c r="G15" i="2" s="1"/>
  <c r="H15" i="2" s="1"/>
  <c r="I15" i="2" s="1"/>
  <c r="D15" i="2"/>
  <c r="D14" i="2"/>
  <c r="G10" i="2"/>
  <c r="H10" i="2" s="1"/>
  <c r="I10" i="2" s="1"/>
  <c r="D10" i="2"/>
  <c r="E10" i="2" s="1"/>
  <c r="F10" i="2" s="1"/>
  <c r="E9" i="2"/>
  <c r="F9" i="2" s="1"/>
  <c r="G9" i="2" s="1"/>
  <c r="H9" i="2" s="1"/>
  <c r="I9" i="2" s="1"/>
  <c r="D9" i="2"/>
  <c r="D8" i="2"/>
  <c r="E8" i="2" s="1"/>
  <c r="F8" i="2" s="1"/>
  <c r="G8" i="2" s="1"/>
  <c r="H8" i="2" s="1"/>
  <c r="I8" i="2" s="1"/>
  <c r="E7" i="2"/>
  <c r="F7" i="2" s="1"/>
  <c r="G7" i="2" s="1"/>
  <c r="H7" i="2" s="1"/>
  <c r="I7" i="2" s="1"/>
  <c r="D7" i="2"/>
  <c r="D6" i="2"/>
  <c r="E6" i="2" s="1"/>
  <c r="F6" i="2" s="1"/>
  <c r="G6" i="2" s="1"/>
  <c r="H6" i="2" s="1"/>
  <c r="I6" i="2" s="1"/>
  <c r="I5" i="2"/>
  <c r="E5" i="2"/>
  <c r="F5" i="2" s="1"/>
  <c r="G5" i="2" s="1"/>
  <c r="H5" i="2" s="1"/>
  <c r="D5" i="2"/>
  <c r="D4" i="2"/>
  <c r="E63" i="1"/>
  <c r="H61" i="1"/>
  <c r="D63" i="1" s="1"/>
  <c r="M46" i="1"/>
  <c r="N46" i="1" s="1"/>
  <c r="O46" i="1" s="1"/>
  <c r="P46" i="1" s="1"/>
  <c r="Q46" i="1" s="1"/>
  <c r="R46" i="1" s="1"/>
  <c r="L46" i="1"/>
  <c r="R44" i="1"/>
  <c r="Q44" i="1"/>
  <c r="P44" i="1"/>
  <c r="O44" i="1"/>
  <c r="N44" i="1"/>
  <c r="M44" i="1"/>
  <c r="L44" i="1"/>
  <c r="R42" i="1"/>
  <c r="O42" i="1"/>
  <c r="P42" i="1" s="1"/>
  <c r="Q42" i="1" s="1"/>
  <c r="N42" i="1"/>
  <c r="M42" i="1"/>
  <c r="R41" i="1"/>
  <c r="I40" i="1"/>
  <c r="M37" i="1"/>
  <c r="N37" i="1" s="1"/>
  <c r="L37" i="1"/>
  <c r="O37" i="1" s="1"/>
  <c r="R37" i="1" s="1"/>
  <c r="E34" i="1"/>
  <c r="H34" i="1" s="1"/>
  <c r="B34" i="1"/>
  <c r="I33" i="1"/>
  <c r="L33" i="1" s="1"/>
  <c r="M33" i="1" s="1"/>
  <c r="N33" i="1" s="1"/>
  <c r="O33" i="1" s="1"/>
  <c r="P33" i="1" s="1"/>
  <c r="Q33" i="1" s="1"/>
  <c r="R33" i="1" s="1"/>
  <c r="C33" i="1"/>
  <c r="H32" i="1"/>
  <c r="C32" i="1"/>
  <c r="I32" i="1" s="1"/>
  <c r="L32" i="1" s="1"/>
  <c r="M32" i="1" s="1"/>
  <c r="N32" i="1" s="1"/>
  <c r="O32" i="1" s="1"/>
  <c r="P32" i="1" s="1"/>
  <c r="Q32" i="1" s="1"/>
  <c r="R32" i="1" s="1"/>
  <c r="H31" i="1"/>
  <c r="C31" i="1"/>
  <c r="I31" i="1" s="1"/>
  <c r="L31" i="1" s="1"/>
  <c r="M31" i="1" s="1"/>
  <c r="N31" i="1" s="1"/>
  <c r="O31" i="1" s="1"/>
  <c r="P31" i="1" s="1"/>
  <c r="Q31" i="1" s="1"/>
  <c r="R31" i="1" s="1"/>
  <c r="I30" i="1"/>
  <c r="L30" i="1" s="1"/>
  <c r="M30" i="1" s="1"/>
  <c r="N30" i="1" s="1"/>
  <c r="O30" i="1" s="1"/>
  <c r="P30" i="1" s="1"/>
  <c r="Q30" i="1" s="1"/>
  <c r="R30" i="1" s="1"/>
  <c r="H30" i="1"/>
  <c r="G30" i="1"/>
  <c r="I29" i="1"/>
  <c r="L29" i="1" s="1"/>
  <c r="M29" i="1" s="1"/>
  <c r="N29" i="1" s="1"/>
  <c r="O29" i="1" s="1"/>
  <c r="P29" i="1" s="1"/>
  <c r="Q29" i="1" s="1"/>
  <c r="R29" i="1" s="1"/>
  <c r="H29" i="1"/>
  <c r="G29" i="1"/>
  <c r="C29" i="1"/>
  <c r="L28" i="1"/>
  <c r="M28" i="1" s="1"/>
  <c r="N28" i="1" s="1"/>
  <c r="O28" i="1" s="1"/>
  <c r="P28" i="1" s="1"/>
  <c r="Q28" i="1" s="1"/>
  <c r="R28" i="1" s="1"/>
  <c r="H28" i="1"/>
  <c r="G28" i="1"/>
  <c r="C28" i="1"/>
  <c r="I28" i="1" s="1"/>
  <c r="H27" i="1"/>
  <c r="G27" i="1"/>
  <c r="C27" i="1"/>
  <c r="I27" i="1" s="1"/>
  <c r="L27" i="1" s="1"/>
  <c r="M27" i="1" s="1"/>
  <c r="N27" i="1" s="1"/>
  <c r="O27" i="1" s="1"/>
  <c r="P27" i="1" s="1"/>
  <c r="Q27" i="1" s="1"/>
  <c r="R27" i="1" s="1"/>
  <c r="H26" i="1"/>
  <c r="G26" i="1"/>
  <c r="C26" i="1"/>
  <c r="I26" i="1" s="1"/>
  <c r="L26" i="1" s="1"/>
  <c r="M26" i="1" s="1"/>
  <c r="N26" i="1" s="1"/>
  <c r="O26" i="1" s="1"/>
  <c r="P26" i="1" s="1"/>
  <c r="Q26" i="1" s="1"/>
  <c r="R26" i="1" s="1"/>
  <c r="I25" i="1"/>
  <c r="L25" i="1" s="1"/>
  <c r="M25" i="1" s="1"/>
  <c r="N25" i="1" s="1"/>
  <c r="O25" i="1" s="1"/>
  <c r="P25" i="1" s="1"/>
  <c r="Q25" i="1" s="1"/>
  <c r="R25" i="1" s="1"/>
  <c r="H25" i="1"/>
  <c r="G25" i="1"/>
  <c r="C25" i="1"/>
  <c r="L24" i="1"/>
  <c r="M24" i="1" s="1"/>
  <c r="N24" i="1" s="1"/>
  <c r="O24" i="1" s="1"/>
  <c r="P24" i="1" s="1"/>
  <c r="Q24" i="1" s="1"/>
  <c r="R24" i="1" s="1"/>
  <c r="H24" i="1"/>
  <c r="G24" i="1"/>
  <c r="C24" i="1"/>
  <c r="I24" i="1" s="1"/>
  <c r="L23" i="1"/>
  <c r="M23" i="1" s="1"/>
  <c r="N23" i="1" s="1"/>
  <c r="O23" i="1" s="1"/>
  <c r="P23" i="1" s="1"/>
  <c r="Q23" i="1" s="1"/>
  <c r="R23" i="1" s="1"/>
  <c r="I23" i="1"/>
  <c r="H23" i="1"/>
  <c r="G23" i="1"/>
  <c r="M22" i="1"/>
  <c r="N22" i="1" s="1"/>
  <c r="O22" i="1" s="1"/>
  <c r="P22" i="1" s="1"/>
  <c r="Q22" i="1" s="1"/>
  <c r="R22" i="1" s="1"/>
  <c r="I22" i="1"/>
  <c r="L22" i="1" s="1"/>
  <c r="H22" i="1"/>
  <c r="G22" i="1"/>
  <c r="C22" i="1"/>
  <c r="H21" i="1"/>
  <c r="G21" i="1"/>
  <c r="F21" i="1"/>
  <c r="I21" i="1" s="1"/>
  <c r="L21" i="1" s="1"/>
  <c r="E21" i="1"/>
  <c r="D21" i="1"/>
  <c r="D34" i="1" s="1"/>
  <c r="G34" i="1" s="1"/>
  <c r="M20" i="1"/>
  <c r="I20" i="1"/>
  <c r="L20" i="1" s="1"/>
  <c r="H20" i="1"/>
  <c r="G20" i="1"/>
  <c r="C20" i="1"/>
  <c r="H17" i="1"/>
  <c r="G17" i="1"/>
  <c r="C17" i="1"/>
  <c r="I17" i="1" s="1"/>
  <c r="I16" i="1"/>
  <c r="L16" i="1" s="1"/>
  <c r="M16" i="1" s="1"/>
  <c r="N16" i="1" s="1"/>
  <c r="O16" i="1" s="1"/>
  <c r="P16" i="1" s="1"/>
  <c r="Q16" i="1" s="1"/>
  <c r="R16" i="1" s="1"/>
  <c r="H16" i="1"/>
  <c r="G16" i="1"/>
  <c r="C16" i="1"/>
  <c r="I15" i="1"/>
  <c r="L15" i="1" s="1"/>
  <c r="M15" i="1" s="1"/>
  <c r="N15" i="1" s="1"/>
  <c r="O15" i="1" s="1"/>
  <c r="P15" i="1" s="1"/>
  <c r="Q15" i="1" s="1"/>
  <c r="R15" i="1" s="1"/>
  <c r="H15" i="1"/>
  <c r="G15" i="1"/>
  <c r="C15" i="1"/>
  <c r="M14" i="1"/>
  <c r="M17" i="1" s="1"/>
  <c r="I14" i="1"/>
  <c r="L14" i="1" s="1"/>
  <c r="L17" i="1" s="1"/>
  <c r="H14" i="1"/>
  <c r="G14" i="1"/>
  <c r="C14" i="1"/>
  <c r="G11" i="1"/>
  <c r="F11" i="1"/>
  <c r="E11" i="1"/>
  <c r="D11" i="1"/>
  <c r="C11" i="1"/>
  <c r="B11" i="1"/>
  <c r="H11" i="1" s="1"/>
  <c r="I10" i="1"/>
  <c r="L10" i="1" s="1"/>
  <c r="M10" i="1" s="1"/>
  <c r="N10" i="1" s="1"/>
  <c r="O10" i="1" s="1"/>
  <c r="P10" i="1" s="1"/>
  <c r="Q10" i="1" s="1"/>
  <c r="R10" i="1" s="1"/>
  <c r="H10" i="1"/>
  <c r="G10" i="1"/>
  <c r="I9" i="1"/>
  <c r="L9" i="1" s="1"/>
  <c r="M9" i="1" s="1"/>
  <c r="N9" i="1" s="1"/>
  <c r="O9" i="1" s="1"/>
  <c r="P9" i="1" s="1"/>
  <c r="Q9" i="1" s="1"/>
  <c r="R9" i="1" s="1"/>
  <c r="H9" i="1"/>
  <c r="G9" i="1"/>
  <c r="I8" i="1"/>
  <c r="L8" i="1" s="1"/>
  <c r="M8" i="1" s="1"/>
  <c r="N8" i="1" s="1"/>
  <c r="O8" i="1" s="1"/>
  <c r="P8" i="1" s="1"/>
  <c r="Q8" i="1" s="1"/>
  <c r="R8" i="1" s="1"/>
  <c r="H8" i="1"/>
  <c r="G8" i="1"/>
  <c r="I7" i="1"/>
  <c r="L7" i="1" s="1"/>
  <c r="M7" i="1" s="1"/>
  <c r="N7" i="1" s="1"/>
  <c r="O7" i="1" s="1"/>
  <c r="P7" i="1" s="1"/>
  <c r="Q7" i="1" s="1"/>
  <c r="R7" i="1" s="1"/>
  <c r="H7" i="1"/>
  <c r="G7" i="1"/>
  <c r="I6" i="1"/>
  <c r="L6" i="1" s="1"/>
  <c r="M6" i="1" s="1"/>
  <c r="N6" i="1" s="1"/>
  <c r="O6" i="1" s="1"/>
  <c r="P6" i="1" s="1"/>
  <c r="Q6" i="1" s="1"/>
  <c r="R6" i="1" s="1"/>
  <c r="H6" i="1"/>
  <c r="G6" i="1"/>
  <c r="I5" i="1"/>
  <c r="L5" i="1" s="1"/>
  <c r="M5" i="1" s="1"/>
  <c r="N5" i="1" s="1"/>
  <c r="O5" i="1" s="1"/>
  <c r="P5" i="1" s="1"/>
  <c r="Q5" i="1" s="1"/>
  <c r="R5" i="1" s="1"/>
  <c r="H5" i="1"/>
  <c r="G5" i="1"/>
  <c r="I4" i="1"/>
  <c r="L4" i="1" s="1"/>
  <c r="H4" i="1"/>
  <c r="G4" i="1"/>
  <c r="C4" i="1"/>
  <c r="M4" i="1" l="1"/>
  <c r="L11" i="1"/>
  <c r="M21" i="1"/>
  <c r="N21" i="1" s="1"/>
  <c r="O21" i="1" s="1"/>
  <c r="P21" i="1" s="1"/>
  <c r="Q21" i="1" s="1"/>
  <c r="R21" i="1" s="1"/>
  <c r="L34" i="1"/>
  <c r="N14" i="1"/>
  <c r="N20" i="1"/>
  <c r="F34" i="1"/>
  <c r="P37" i="1"/>
  <c r="Q37" i="1" s="1"/>
  <c r="E95" i="1"/>
  <c r="D95" i="1"/>
  <c r="G95" i="1"/>
  <c r="C95" i="1"/>
  <c r="F95" i="1"/>
  <c r="F38" i="2"/>
  <c r="G37" i="2"/>
  <c r="E48" i="1"/>
  <c r="F101" i="2"/>
  <c r="B101" i="2"/>
  <c r="E101" i="2"/>
  <c r="D101" i="2"/>
  <c r="C101" i="2"/>
  <c r="I11" i="1"/>
  <c r="C34" i="1"/>
  <c r="B95" i="1"/>
  <c r="D62" i="1"/>
  <c r="E62" i="1" s="1"/>
  <c r="D64" i="1"/>
  <c r="E64" i="1" s="1"/>
  <c r="D11" i="2"/>
  <c r="D40" i="2" s="1"/>
  <c r="D17" i="2"/>
  <c r="E14" i="2"/>
  <c r="E4" i="2"/>
  <c r="F20" i="2"/>
  <c r="E34" i="2"/>
  <c r="F49" i="2"/>
  <c r="D34" i="2"/>
  <c r="D51" i="2"/>
  <c r="D48" i="2" l="1"/>
  <c r="D53" i="2" s="1"/>
  <c r="D82" i="1"/>
  <c r="G82" i="1"/>
  <c r="C82" i="1"/>
  <c r="F82" i="1"/>
  <c r="B82" i="1"/>
  <c r="E82" i="1"/>
  <c r="G49" i="2"/>
  <c r="F51" i="2"/>
  <c r="F14" i="2"/>
  <c r="E17" i="2"/>
  <c r="O14" i="1"/>
  <c r="N17" i="1"/>
  <c r="L38" i="1"/>
  <c r="L39" i="1" s="1"/>
  <c r="L48" i="1" s="1"/>
  <c r="F34" i="2"/>
  <c r="G20" i="2"/>
  <c r="H37" i="2"/>
  <c r="G38" i="2"/>
  <c r="I34" i="1"/>
  <c r="F4" i="2"/>
  <c r="E11" i="2"/>
  <c r="N34" i="1"/>
  <c r="O20" i="1"/>
  <c r="D69" i="1"/>
  <c r="G69" i="1"/>
  <c r="C69" i="1"/>
  <c r="F69" i="1"/>
  <c r="B69" i="1"/>
  <c r="E69" i="1"/>
  <c r="M34" i="1"/>
  <c r="N4" i="1"/>
  <c r="M11" i="1"/>
  <c r="D57" i="2" l="1"/>
  <c r="D55" i="2"/>
  <c r="D56" i="2"/>
  <c r="D54" i="2"/>
  <c r="P20" i="1"/>
  <c r="O34" i="1"/>
  <c r="I37" i="2"/>
  <c r="I38" i="2" s="1"/>
  <c r="H38" i="2"/>
  <c r="N11" i="1"/>
  <c r="N38" i="1" s="1"/>
  <c r="N39" i="1" s="1"/>
  <c r="N48" i="1" s="1"/>
  <c r="O4" i="1"/>
  <c r="L54" i="1"/>
  <c r="L51" i="1"/>
  <c r="L52" i="1"/>
  <c r="L53" i="1"/>
  <c r="G14" i="2"/>
  <c r="F17" i="2"/>
  <c r="M38" i="1"/>
  <c r="M39" i="1" s="1"/>
  <c r="M48" i="1" s="1"/>
  <c r="F11" i="2"/>
  <c r="G4" i="2"/>
  <c r="G34" i="2"/>
  <c r="H20" i="2"/>
  <c r="O17" i="1"/>
  <c r="P14" i="1"/>
  <c r="H49" i="2"/>
  <c r="G51" i="2"/>
  <c r="I20" i="2" l="1"/>
  <c r="I34" i="2" s="1"/>
  <c r="H34" i="2"/>
  <c r="N52" i="1"/>
  <c r="N53" i="1"/>
  <c r="N54" i="1"/>
  <c r="N51" i="1"/>
  <c r="G17" i="2"/>
  <c r="H14" i="2"/>
  <c r="Q20" i="1"/>
  <c r="P34" i="1"/>
  <c r="M51" i="1"/>
  <c r="M52" i="1"/>
  <c r="M53" i="1"/>
  <c r="M54" i="1"/>
  <c r="O11" i="1"/>
  <c r="O38" i="1" s="1"/>
  <c r="O39" i="1" s="1"/>
  <c r="O48" i="1" s="1"/>
  <c r="P4" i="1"/>
  <c r="E42" i="2"/>
  <c r="E48" i="2" s="1"/>
  <c r="E53" i="2" s="1"/>
  <c r="I49" i="2"/>
  <c r="I51" i="2" s="1"/>
  <c r="H51" i="2"/>
  <c r="Q14" i="1"/>
  <c r="P17" i="1"/>
  <c r="G11" i="2"/>
  <c r="G40" i="2" s="1"/>
  <c r="H4" i="2"/>
  <c r="L55" i="1"/>
  <c r="L56" i="1" s="1"/>
  <c r="D58" i="2"/>
  <c r="D59" i="2" s="1"/>
  <c r="D65" i="2" s="1"/>
  <c r="D70" i="2" s="1"/>
  <c r="E57" i="2" l="1"/>
  <c r="E55" i="2"/>
  <c r="E56" i="2"/>
  <c r="E54" i="2"/>
  <c r="G42" i="2"/>
  <c r="G48" i="2" s="1"/>
  <c r="G53" i="2" s="1"/>
  <c r="M55" i="1"/>
  <c r="M56" i="1" s="1"/>
  <c r="L79" i="1"/>
  <c r="L80" i="1" s="1"/>
  <c r="L81" i="1" s="1"/>
  <c r="L58" i="1"/>
  <c r="N55" i="1"/>
  <c r="N56" i="1" s="1"/>
  <c r="F42" i="2"/>
  <c r="F48" i="2" s="1"/>
  <c r="F53" i="2" s="1"/>
  <c r="Q17" i="1"/>
  <c r="R14" i="1"/>
  <c r="R17" i="1" s="1"/>
  <c r="H11" i="2"/>
  <c r="I4" i="2"/>
  <c r="I11" i="2" s="1"/>
  <c r="I40" i="2" s="1"/>
  <c r="Q4" i="1"/>
  <c r="P11" i="1"/>
  <c r="P38" i="1" s="1"/>
  <c r="P39" i="1" s="1"/>
  <c r="P48" i="1" s="1"/>
  <c r="Q34" i="1"/>
  <c r="R20" i="1"/>
  <c r="R34" i="1" s="1"/>
  <c r="D71" i="2"/>
  <c r="D72" i="2"/>
  <c r="D79" i="2" s="1"/>
  <c r="D80" i="2" s="1"/>
  <c r="O53" i="1"/>
  <c r="O54" i="1"/>
  <c r="O51" i="1"/>
  <c r="O52" i="1"/>
  <c r="H17" i="2"/>
  <c r="I14" i="2"/>
  <c r="I17" i="2" s="1"/>
  <c r="F56" i="2" l="1"/>
  <c r="F54" i="2"/>
  <c r="F57" i="2"/>
  <c r="F55" i="2"/>
  <c r="G56" i="2"/>
  <c r="G54" i="2"/>
  <c r="G58" i="2" s="1"/>
  <c r="G59" i="2"/>
  <c r="G65" i="2" s="1"/>
  <c r="G70" i="2" s="1"/>
  <c r="G57" i="2"/>
  <c r="G55" i="2"/>
  <c r="M79" i="1"/>
  <c r="M80" i="1" s="1"/>
  <c r="M81" i="1" s="1"/>
  <c r="M58" i="1"/>
  <c r="P54" i="1"/>
  <c r="P51" i="1"/>
  <c r="P52" i="1"/>
  <c r="P53" i="1"/>
  <c r="N58" i="1"/>
  <c r="N79" i="1"/>
  <c r="N80" i="1" s="1"/>
  <c r="N81" i="1" s="1"/>
  <c r="I42" i="2"/>
  <c r="I48" i="2" s="1"/>
  <c r="I53" i="2" s="1"/>
  <c r="I41" i="2"/>
  <c r="H40" i="2"/>
  <c r="O55" i="1"/>
  <c r="O56" i="1" s="1"/>
  <c r="R4" i="1"/>
  <c r="R11" i="1" s="1"/>
  <c r="R38" i="1" s="1"/>
  <c r="R39" i="1" s="1"/>
  <c r="R48" i="1" s="1"/>
  <c r="Q11" i="1"/>
  <c r="Q38" i="1" s="1"/>
  <c r="Q39" i="1" s="1"/>
  <c r="Q48" i="1" s="1"/>
  <c r="L59" i="1"/>
  <c r="L60" i="1"/>
  <c r="L61" i="1" s="1"/>
  <c r="E58" i="2"/>
  <c r="E59" i="2" s="1"/>
  <c r="E65" i="2" s="1"/>
  <c r="E70" i="2" s="1"/>
  <c r="E71" i="2" l="1"/>
  <c r="E72" i="2"/>
  <c r="E79" i="2" s="1"/>
  <c r="E80" i="2" s="1"/>
  <c r="B85" i="2" s="1"/>
  <c r="B87" i="2" s="1"/>
  <c r="G71" i="2"/>
  <c r="G72" i="2" s="1"/>
  <c r="G79" i="2" s="1"/>
  <c r="G80" i="2" s="1"/>
  <c r="D85" i="2" s="1"/>
  <c r="I57" i="2"/>
  <c r="I55" i="2"/>
  <c r="I54" i="2"/>
  <c r="I58" i="2" s="1"/>
  <c r="I59" i="2" s="1"/>
  <c r="I65" i="2" s="1"/>
  <c r="I70" i="2" s="1"/>
  <c r="I56" i="2"/>
  <c r="M59" i="1"/>
  <c r="M60" i="1" s="1"/>
  <c r="M61" i="1" s="1"/>
  <c r="O58" i="1"/>
  <c r="O79" i="1"/>
  <c r="O80" i="1" s="1"/>
  <c r="O81" i="1" s="1"/>
  <c r="H41" i="2"/>
  <c r="H42" i="2" s="1"/>
  <c r="H48" i="2" s="1"/>
  <c r="H53" i="2" s="1"/>
  <c r="N59" i="1"/>
  <c r="N60" i="1" s="1"/>
  <c r="N61" i="1" s="1"/>
  <c r="P55" i="1"/>
  <c r="P56" i="1" s="1"/>
  <c r="F58" i="2"/>
  <c r="F59" i="2" s="1"/>
  <c r="F65" i="2" s="1"/>
  <c r="F70" i="2" s="1"/>
  <c r="R52" i="1"/>
  <c r="R53" i="1"/>
  <c r="R54" i="1"/>
  <c r="R51" i="1"/>
  <c r="R55" i="1" s="1"/>
  <c r="R56" i="1" s="1"/>
  <c r="Q51" i="1"/>
  <c r="Q52" i="1"/>
  <c r="Q53" i="1"/>
  <c r="Q54" i="1"/>
  <c r="C94" i="1" l="1"/>
  <c r="C96" i="1" s="1"/>
  <c r="C81" i="1"/>
  <c r="C83" i="1" s="1"/>
  <c r="C68" i="1"/>
  <c r="C70" i="1" s="1"/>
  <c r="D100" i="2"/>
  <c r="D102" i="2" s="1"/>
  <c r="D87" i="2"/>
  <c r="B68" i="1"/>
  <c r="B70" i="1" s="1"/>
  <c r="B94" i="1"/>
  <c r="B96" i="1" s="1"/>
  <c r="B81" i="1"/>
  <c r="B83" i="1" s="1"/>
  <c r="H57" i="2"/>
  <c r="H55" i="2"/>
  <c r="H54" i="2"/>
  <c r="H58" i="2" s="1"/>
  <c r="H59" i="2" s="1"/>
  <c r="H65" i="2" s="1"/>
  <c r="H70" i="2" s="1"/>
  <c r="H56" i="2"/>
  <c r="R58" i="1"/>
  <c r="R79" i="1"/>
  <c r="R80" i="1" s="1"/>
  <c r="R81" i="1" s="1"/>
  <c r="I72" i="2"/>
  <c r="I79" i="2" s="1"/>
  <c r="I80" i="2" s="1"/>
  <c r="F85" i="2" s="1"/>
  <c r="I71" i="2"/>
  <c r="B100" i="2"/>
  <c r="B102" i="2" s="1"/>
  <c r="O59" i="1"/>
  <c r="O60" i="1" s="1"/>
  <c r="O61" i="1" s="1"/>
  <c r="F71" i="2"/>
  <c r="F72" i="2" s="1"/>
  <c r="F79" i="2" s="1"/>
  <c r="F80" i="2" s="1"/>
  <c r="C85" i="2" s="1"/>
  <c r="P79" i="1"/>
  <c r="P80" i="1" s="1"/>
  <c r="P81" i="1" s="1"/>
  <c r="P58" i="1"/>
  <c r="Q55" i="1"/>
  <c r="Q56" i="1" s="1"/>
  <c r="C100" i="2" l="1"/>
  <c r="C102" i="2" s="1"/>
  <c r="C87" i="2"/>
  <c r="B90" i="2" s="1"/>
  <c r="B93" i="2" s="1"/>
  <c r="D81" i="1"/>
  <c r="D83" i="1" s="1"/>
  <c r="D68" i="1"/>
  <c r="D70" i="1" s="1"/>
  <c r="D94" i="1"/>
  <c r="D96" i="1" s="1"/>
  <c r="H71" i="2"/>
  <c r="H72" i="2" s="1"/>
  <c r="H79" i="2" s="1"/>
  <c r="H80" i="2" s="1"/>
  <c r="E85" i="2" s="1"/>
  <c r="F100" i="2"/>
  <c r="F87" i="2"/>
  <c r="Q79" i="1"/>
  <c r="Q80" i="1" s="1"/>
  <c r="Q81" i="1" s="1"/>
  <c r="Q58" i="1"/>
  <c r="R59" i="1"/>
  <c r="R60" i="1"/>
  <c r="R61" i="1" s="1"/>
  <c r="P59" i="1"/>
  <c r="P60" i="1" s="1"/>
  <c r="P61" i="1" s="1"/>
  <c r="E81" i="1" l="1"/>
  <c r="E83" i="1" s="1"/>
  <c r="E68" i="1"/>
  <c r="E70" i="1" s="1"/>
  <c r="E94" i="1"/>
  <c r="E96" i="1" s="1"/>
  <c r="E87" i="2"/>
  <c r="B95" i="2" s="1"/>
  <c r="E100" i="2"/>
  <c r="E102" i="2" s="1"/>
  <c r="G94" i="1"/>
  <c r="G81" i="1"/>
  <c r="G68" i="1"/>
  <c r="Q59" i="1"/>
  <c r="Q60" i="1" s="1"/>
  <c r="Q61" i="1" s="1"/>
  <c r="F103" i="2"/>
  <c r="B106" i="2" s="1"/>
  <c r="F102" i="2"/>
  <c r="F68" i="1" l="1"/>
  <c r="F70" i="1" s="1"/>
  <c r="B73" i="1" s="1"/>
  <c r="F94" i="1"/>
  <c r="F96" i="1" s="1"/>
  <c r="F81" i="1"/>
  <c r="F83" i="1" s="1"/>
  <c r="B86" i="1" s="1"/>
  <c r="G84" i="1"/>
  <c r="B85" i="1" s="1"/>
  <c r="G83" i="1"/>
  <c r="G96" i="1"/>
  <c r="G97" i="1"/>
  <c r="B98" i="1" s="1"/>
  <c r="B99" i="1"/>
  <c r="B105" i="2"/>
  <c r="B108" i="2" s="1"/>
  <c r="B110" i="2" s="1"/>
  <c r="G71" i="1"/>
  <c r="B72" i="1" s="1"/>
  <c r="G70" i="1"/>
  <c r="B89" i="1" l="1"/>
  <c r="B90" i="1" s="1"/>
  <c r="B102" i="1"/>
  <c r="B103" i="1" s="1"/>
  <c r="B76" i="1"/>
  <c r="B77" i="1" s="1"/>
</calcChain>
</file>

<file path=xl/sharedStrings.xml><?xml version="1.0" encoding="utf-8"?>
<sst xmlns="http://schemas.openxmlformats.org/spreadsheetml/2006/main" count="391" uniqueCount="165">
  <si>
    <t>Revenues (in KMAD)</t>
  </si>
  <si>
    <t>Revenue/sqm</t>
  </si>
  <si>
    <t>Single Tenants Assets</t>
  </si>
  <si>
    <t>Atacadao Tanger</t>
  </si>
  <si>
    <t>2013(rev:19,22,25,28)</t>
  </si>
  <si>
    <t>Atacadao Oujda</t>
  </si>
  <si>
    <t>2008(rev:19,22,25,28)</t>
  </si>
  <si>
    <t>Atacadao Fès</t>
  </si>
  <si>
    <t>2012(rev:19,22,25,28)</t>
  </si>
  <si>
    <t>Atacadao Marrakech</t>
  </si>
  <si>
    <t>2003(rev:19,22,25,28)</t>
  </si>
  <si>
    <t>Atacadao Meknès</t>
  </si>
  <si>
    <t>2016(rev:20,23,26,29)</t>
  </si>
  <si>
    <t>Atacadao Taza</t>
  </si>
  <si>
    <t>2014(rev:17,20,23,26)</t>
  </si>
  <si>
    <t>Carrefour Panoramique</t>
  </si>
  <si>
    <t>2017(rev:20,23,26,29)</t>
  </si>
  <si>
    <t>Total</t>
  </si>
  <si>
    <t>Shopping centers</t>
  </si>
  <si>
    <t>Almazar</t>
  </si>
  <si>
    <t>2010(rev:19,22,25,28)</t>
  </si>
  <si>
    <t>Socco Alto</t>
  </si>
  <si>
    <t>Borj Fez</t>
  </si>
  <si>
    <t>Commercial Galleries</t>
  </si>
  <si>
    <t>Sela Park Agadir</t>
  </si>
  <si>
    <t>2001(rev:20,23,26,29)</t>
  </si>
  <si>
    <t>Atacadao Ain Sbaa</t>
  </si>
  <si>
    <t>1991(rev:20,23,26,29)</t>
  </si>
  <si>
    <t>atacadao sale</t>
  </si>
  <si>
    <t>Carrfour Bouskoura</t>
  </si>
  <si>
    <t>Carrefour Berkane</t>
  </si>
  <si>
    <t>Label'Gallery El Jadida</t>
  </si>
  <si>
    <t>Label'Gallery Meknes</t>
  </si>
  <si>
    <t>Sela Plaza Targa</t>
  </si>
  <si>
    <t>Label'Gallery Safi</t>
  </si>
  <si>
    <t>Label'Gallery rabat</t>
  </si>
  <si>
    <t>Sela Park El Jadida</t>
  </si>
  <si>
    <t>Sela Plaza Dar Bouazza</t>
  </si>
  <si>
    <t>--</t>
  </si>
  <si>
    <t>Atacadao Inezgane</t>
  </si>
  <si>
    <t>2019(rev:21,24,27)</t>
  </si>
  <si>
    <t>Sela Park Temara</t>
  </si>
  <si>
    <t>Industrial Unit</t>
  </si>
  <si>
    <t>Yazaki Meknes</t>
  </si>
  <si>
    <t>Total :</t>
  </si>
  <si>
    <t>Total(Avec taux variables)</t>
  </si>
  <si>
    <t>l'OPCI</t>
  </si>
  <si>
    <t>----</t>
  </si>
  <si>
    <t>AKDITAL IMMO</t>
  </si>
  <si>
    <t>Prism</t>
  </si>
  <si>
    <t>Station de services/ CFAO</t>
  </si>
  <si>
    <t>Autres revenues</t>
  </si>
  <si>
    <t>Best Leisure</t>
  </si>
  <si>
    <t>SCCCB</t>
  </si>
  <si>
    <t>Les Charges d'exploitation</t>
  </si>
  <si>
    <t>Autres Achats et Charges Externes</t>
  </si>
  <si>
    <t>Charges de Personnel</t>
  </si>
  <si>
    <t>Impôts, taxes et versement assimilés</t>
  </si>
  <si>
    <t>Autres produits et Charges Opérationnels</t>
  </si>
  <si>
    <t>EBE</t>
  </si>
  <si>
    <t>Cout d'endettement</t>
  </si>
  <si>
    <t>Resultat Avant Impot</t>
  </si>
  <si>
    <t xml:space="preserve">Taux sans risque </t>
  </si>
  <si>
    <t xml:space="preserve">Prime de marché </t>
  </si>
  <si>
    <t>Impot (31%)</t>
  </si>
  <si>
    <t>Resultat net (FFO)</t>
  </si>
  <si>
    <t>Be</t>
  </si>
  <si>
    <t>Cfp</t>
  </si>
  <si>
    <t>D/E</t>
  </si>
  <si>
    <t>Dividendes</t>
  </si>
  <si>
    <t>betaD</t>
  </si>
  <si>
    <t>Pour Cfp : 6,51%</t>
  </si>
  <si>
    <t>Dividendes servis aux actionnaires</t>
  </si>
  <si>
    <t>Facteur d'actualisation</t>
  </si>
  <si>
    <t>Dividendes servis aux actionnaires Actualisés</t>
  </si>
  <si>
    <t>Valeur terminale</t>
  </si>
  <si>
    <t>Valeur terminale actualisée</t>
  </si>
  <si>
    <t>somme des dividendes actualisés</t>
  </si>
  <si>
    <t>Reserve Foncière</t>
  </si>
  <si>
    <t>Nombre d'action</t>
  </si>
  <si>
    <t>Prix d'action</t>
  </si>
  <si>
    <t>Prix d'action en MAD</t>
  </si>
  <si>
    <t>Pour Cfp : 3,58%</t>
  </si>
  <si>
    <t>FFO</t>
  </si>
  <si>
    <t>Div/action</t>
  </si>
  <si>
    <t>Pour Cfp : 5,67%</t>
  </si>
  <si>
    <t>2019r</t>
  </si>
  <si>
    <t>2020r</t>
  </si>
  <si>
    <t>2021e</t>
  </si>
  <si>
    <t>2022p</t>
  </si>
  <si>
    <t>2023p</t>
  </si>
  <si>
    <t>2024p</t>
  </si>
  <si>
    <t>2025p</t>
  </si>
  <si>
    <t>2026p</t>
  </si>
  <si>
    <t>Operational Assets fixed rental revenues</t>
  </si>
  <si>
    <t>Operational Assets variable rental revenues</t>
  </si>
  <si>
    <t>Operational Assets total revenue</t>
  </si>
  <si>
    <t>OPCI</t>
  </si>
  <si>
    <t>Akdital Immo</t>
  </si>
  <si>
    <t>Gaz Stations and CFAO Offices</t>
  </si>
  <si>
    <t>Total Rental Revenues</t>
  </si>
  <si>
    <t xml:space="preserve">Revenues </t>
  </si>
  <si>
    <t>Other Expenses/ External Expenses</t>
  </si>
  <si>
    <t>Payroll Expenses</t>
  </si>
  <si>
    <t>Tax Expenses</t>
  </si>
  <si>
    <t>Other Operating Revenues and Expenses</t>
  </si>
  <si>
    <t>Operating Expenses</t>
  </si>
  <si>
    <t>EBITDA</t>
  </si>
  <si>
    <t>Depreciation Expenses</t>
  </si>
  <si>
    <t>Provisions for Risks and Charges</t>
  </si>
  <si>
    <t>Other non-Operating Revenues and Expenses</t>
  </si>
  <si>
    <t>Fair-Value Changes of Investment Properties</t>
  </si>
  <si>
    <t>Asset Sale</t>
  </si>
  <si>
    <t>Operating Income</t>
  </si>
  <si>
    <t>Gross Financing Cost</t>
  </si>
  <si>
    <t>Cash Placements Revenues</t>
  </si>
  <si>
    <t>Other Financial Revenues and Expenses</t>
  </si>
  <si>
    <t>Net Financing Cost</t>
  </si>
  <si>
    <t>Current Income Before Tax</t>
  </si>
  <si>
    <t>Income tax</t>
  </si>
  <si>
    <t xml:space="preserve">Net Income </t>
  </si>
  <si>
    <t>Depreciation</t>
  </si>
  <si>
    <t>Provisions (net)</t>
  </si>
  <si>
    <t>Other non cash items</t>
  </si>
  <si>
    <t>Non recuiring income</t>
  </si>
  <si>
    <t>Deffered Tax</t>
  </si>
  <si>
    <t>Dividends paid to shareholders</t>
  </si>
  <si>
    <t>Pour Cout des fonds = 5,59%</t>
  </si>
  <si>
    <t>Discount Factor</t>
  </si>
  <si>
    <t>Discounted Dividends paid to shareholders</t>
  </si>
  <si>
    <t>Terminal Value</t>
  </si>
  <si>
    <t>Sum of discouted Dividends paid to shareholders</t>
  </si>
  <si>
    <t>Discounted Terminal Value</t>
  </si>
  <si>
    <t>Land Reserves</t>
  </si>
  <si>
    <t>Equity Value</t>
  </si>
  <si>
    <t>Number of Shares</t>
  </si>
  <si>
    <t>Share Price in MAD</t>
  </si>
  <si>
    <t>Pour Cout des fonds = 3,54%</t>
  </si>
  <si>
    <t xml:space="preserve">Statistical </t>
  </si>
  <si>
    <t>Central</t>
  </si>
  <si>
    <t>Immorente</t>
  </si>
  <si>
    <t>Unlevered Beta</t>
  </si>
  <si>
    <t>Levered Beta</t>
  </si>
  <si>
    <t xml:space="preserve">Cost of Equity </t>
  </si>
  <si>
    <t>Target Price</t>
  </si>
  <si>
    <t>Growth Rate</t>
  </si>
  <si>
    <t>2021E</t>
  </si>
  <si>
    <t>2022E</t>
  </si>
  <si>
    <t>2023E</t>
  </si>
  <si>
    <t>2024E</t>
  </si>
  <si>
    <t>2025E</t>
  </si>
  <si>
    <t>2026E</t>
  </si>
  <si>
    <t>Atacadao Ain Sbaâ</t>
  </si>
  <si>
    <t>Atacadao Salé</t>
  </si>
  <si>
    <t>Label'Gallery Meknès</t>
  </si>
  <si>
    <t xml:space="preserve">Yazaki </t>
  </si>
  <si>
    <t>Assets fixed rental revenue</t>
  </si>
  <si>
    <t>Assets variable rental revenue</t>
  </si>
  <si>
    <t>Assets total revenue</t>
  </si>
  <si>
    <t>CLEO PIERRE SPI-RFA OPCI</t>
  </si>
  <si>
    <t xml:space="preserve">Total Revenues </t>
  </si>
  <si>
    <t xml:space="preserve">Dividends paid </t>
  </si>
  <si>
    <t xml:space="preserve">Discounted dividends paid </t>
  </si>
  <si>
    <t>Sum of discouted dividends paid</t>
  </si>
  <si>
    <t>(KMAD)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</si>
</sst>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MAD]\ * #,##0.00_);_([$MAD]\ * \(#,##0.00\);_([$MAD]\ * &quot;-&quot;??_);_(@_)"/>
  </numFmts>
  <fonts count="33">
    <font>
      <sz val="11"/>
      <color theme="1"/>
      <name val="Arial"/>
    </font>
    <font>
      <b/>
      <sz val="12"/>
      <color theme="1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b/>
      <i/>
      <sz val="12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8"/>
      <color rgb="FFA61D4C"/>
      <name val="Inconsolata"/>
    </font>
    <font>
      <sz val="11"/>
      <color theme="1"/>
      <name val="Calibri"/>
      <family val="2"/>
    </font>
    <font>
      <b/>
      <i/>
      <sz val="11"/>
      <color theme="1"/>
      <name val="Calibri"/>
      <family val="2"/>
    </font>
    <font>
      <i/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sz val="12"/>
      <color rgb="FF000000"/>
      <name val="Calibri"/>
      <family val="2"/>
    </font>
    <font>
      <b/>
      <i/>
      <sz val="12"/>
      <color rgb="FF000000"/>
      <name val="Docs-Calibri"/>
    </font>
    <font>
      <b/>
      <i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theme="1"/>
      <name val="Trebuchet MS"/>
      <family val="2"/>
    </font>
    <font>
      <sz val="12"/>
      <color theme="1"/>
      <name val="Calibri"/>
      <family val="2"/>
    </font>
    <font>
      <b/>
      <sz val="12"/>
      <color theme="1"/>
      <name val="Trebuchet MS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theme="0"/>
      <name val="Arial"/>
      <family val="2"/>
    </font>
    <font>
      <b/>
      <sz val="11"/>
      <color theme="1"/>
      <name val="Calibri"/>
      <family val="2"/>
    </font>
    <font>
      <sz val="11"/>
      <color theme="1"/>
      <name val="Trebuchet MS"/>
      <family val="2"/>
    </font>
    <font>
      <b/>
      <sz val="11"/>
      <color theme="1"/>
      <name val="Trebuchet MS"/>
      <family val="2"/>
    </font>
    <font>
      <sz val="11"/>
      <color theme="1"/>
      <name val="Trebuchet MS"/>
      <family val="2"/>
    </font>
    <font>
      <b/>
      <sz val="11"/>
      <color theme="1"/>
      <name val="Trebuchet MS"/>
      <family val="2"/>
    </font>
    <font>
      <b/>
      <i/>
      <sz val="11"/>
      <color theme="1"/>
      <name val="Trebuchet MS"/>
      <family val="2"/>
    </font>
    <font>
      <sz val="11"/>
      <color rgb="FF000000"/>
      <name val="Trebuchet MS"/>
      <family val="2"/>
    </font>
    <font>
      <b/>
      <sz val="11"/>
      <color rgb="FF000000"/>
      <name val="Trebuchet MS"/>
      <family val="2"/>
    </font>
    <font>
      <b/>
      <sz val="11"/>
      <color theme="0"/>
      <name val="Trebuchet MS"/>
      <family val="2"/>
    </font>
    <font>
      <sz val="11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8D8D8"/>
        <bgColor rgb="FFD8D8D8"/>
      </patternFill>
    </fill>
    <fill>
      <patternFill patternType="solid">
        <fgColor theme="1"/>
        <bgColor theme="1"/>
      </patternFill>
    </fill>
    <fill>
      <patternFill patternType="solid">
        <fgColor rgb="FFEAD1DC"/>
        <bgColor rgb="FFEAD1DC"/>
      </patternFill>
    </fill>
    <fill>
      <patternFill patternType="solid">
        <fgColor rgb="FFA4C2F4"/>
        <bgColor rgb="FFA4C2F4"/>
      </patternFill>
    </fill>
    <fill>
      <patternFill patternType="solid">
        <fgColor rgb="FF9FC5E8"/>
        <bgColor rgb="FF9FC5E8"/>
      </patternFill>
    </fill>
    <fill>
      <patternFill patternType="solid">
        <fgColor rgb="FFDDD9C4"/>
        <bgColor rgb="FFDDD9C4"/>
      </patternFill>
    </fill>
    <fill>
      <patternFill patternType="solid">
        <fgColor rgb="FFDDEBF7"/>
        <bgColor rgb="FFDDEBF7"/>
      </patternFill>
    </fill>
    <fill>
      <patternFill patternType="solid">
        <fgColor rgb="FFD9D9D9"/>
        <bgColor rgb="FFD9D9D9"/>
      </patternFill>
    </fill>
    <fill>
      <patternFill patternType="solid">
        <fgColor rgb="FFA61D4C"/>
        <bgColor rgb="FFA61D4C"/>
      </patternFill>
    </fill>
    <fill>
      <patternFill patternType="solid">
        <fgColor rgb="FFEEECE1"/>
        <bgColor rgb="FFEEECE1"/>
      </patternFill>
    </fill>
    <fill>
      <patternFill patternType="solid">
        <fgColor rgb="FFA3864F"/>
        <bgColor rgb="FFA3864F"/>
      </patternFill>
    </fill>
    <fill>
      <patternFill patternType="solid">
        <fgColor rgb="FFBB9C62"/>
        <bgColor rgb="FFBB9C62"/>
      </patternFill>
    </fill>
  </fills>
  <borders count="117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FFFFFF"/>
      </bottom>
      <diagonal/>
    </border>
    <border>
      <left style="thin">
        <color rgb="FFFFFFFF"/>
      </left>
      <right/>
      <top style="thin">
        <color rgb="FF000000"/>
      </top>
      <bottom style="thin">
        <color rgb="FFFFFFFF"/>
      </bottom>
      <diagonal/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 style="thin">
        <color rgb="FF000000"/>
      </bottom>
      <diagonal/>
    </border>
    <border>
      <left style="medium">
        <color rgb="FF000000"/>
      </left>
      <right style="thin">
        <color rgb="FFFFFFFF"/>
      </right>
      <top style="medium">
        <color rgb="FF000000"/>
      </top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 style="medium">
        <color rgb="FF000000"/>
      </top>
      <bottom style="medium">
        <color rgb="FF000000"/>
      </bottom>
      <diagonal/>
    </border>
    <border>
      <left style="thin">
        <color rgb="FFFFFFFF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FFFFFF"/>
      </right>
      <top style="thin">
        <color rgb="FF000000"/>
      </top>
      <bottom/>
      <diagonal/>
    </border>
    <border>
      <left style="thin">
        <color rgb="FFFFFFFF"/>
      </left>
      <right style="thin">
        <color rgb="FFFFFFFF"/>
      </right>
      <top style="thin">
        <color rgb="FF000000"/>
      </top>
      <bottom/>
      <diagonal/>
    </border>
    <border>
      <left style="thin">
        <color rgb="FFFFFFFF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EEECE1"/>
      </right>
      <top style="thin">
        <color rgb="FF000000"/>
      </top>
      <bottom style="thin">
        <color rgb="FF000000"/>
      </bottom>
      <diagonal/>
    </border>
    <border>
      <left style="thin">
        <color rgb="FFEEECE1"/>
      </left>
      <right style="thin">
        <color rgb="FFEEECE1"/>
      </right>
      <top style="thin">
        <color rgb="FF000000"/>
      </top>
      <bottom style="thin">
        <color rgb="FF000000"/>
      </bottom>
      <diagonal/>
    </border>
    <border>
      <left style="thin">
        <color rgb="FFEEECE1"/>
      </left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000000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EEECE1"/>
      </left>
      <right style="thin">
        <color rgb="FFEEECE1"/>
      </right>
      <top/>
      <bottom style="thin">
        <color rgb="FF000000"/>
      </bottom>
      <diagonal/>
    </border>
    <border>
      <left style="thin">
        <color rgb="FFEEECE1"/>
      </left>
      <right/>
      <top/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A3864F"/>
      </bottom>
      <diagonal/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A3864F"/>
      </bottom>
      <diagonal/>
    </border>
    <border>
      <left style="thin">
        <color rgb="FFFFFFFF"/>
      </left>
      <right/>
      <top style="thin">
        <color rgb="FF000000"/>
      </top>
      <bottom style="thin">
        <color rgb="FFA3864F"/>
      </bottom>
      <diagonal/>
    </border>
    <border>
      <left style="thin">
        <color rgb="FF000000"/>
      </left>
      <right style="thin">
        <color rgb="FFA3864F"/>
      </right>
      <top style="thin">
        <color rgb="FFA3864F"/>
      </top>
      <bottom style="thin">
        <color rgb="FF000000"/>
      </bottom>
      <diagonal/>
    </border>
    <border>
      <left style="thin">
        <color rgb="FFA3864F"/>
      </left>
      <right style="thin">
        <color rgb="FFA3864F"/>
      </right>
      <top style="thin">
        <color rgb="FFA3864F"/>
      </top>
      <bottom style="thin">
        <color rgb="FF000000"/>
      </bottom>
      <diagonal/>
    </border>
    <border>
      <left style="thin">
        <color rgb="FFA3864F"/>
      </left>
      <right/>
      <top style="thin">
        <color rgb="FFA3864F"/>
      </top>
      <bottom style="thin">
        <color rgb="FF000000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 style="thin">
        <color rgb="FFBB9C62"/>
      </right>
      <top/>
      <bottom/>
      <diagonal/>
    </border>
    <border>
      <left style="thin">
        <color rgb="FFBB9C62"/>
      </left>
      <right style="thin">
        <color rgb="FFBB9C62"/>
      </right>
      <top/>
      <bottom/>
      <diagonal/>
    </border>
    <border>
      <left style="thin">
        <color rgb="FFBB9C62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/>
      <diagonal/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EEECE1"/>
      </right>
      <top/>
      <bottom/>
      <diagonal/>
    </border>
    <border>
      <left style="thin">
        <color rgb="FFEEECE1"/>
      </left>
      <right style="thin">
        <color rgb="FFEEECE1"/>
      </right>
      <top/>
      <bottom/>
      <diagonal/>
    </border>
    <border>
      <left style="thin">
        <color rgb="FFEEECE1"/>
      </left>
      <right/>
      <top/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000000"/>
      </left>
      <right style="thin">
        <color rgb="FFFFFFFF"/>
      </right>
      <top style="medium">
        <color rgb="FF000000"/>
      </top>
      <bottom style="medium">
        <color rgb="FF000000"/>
      </bottom>
      <diagonal/>
    </border>
    <border>
      <left style="thin">
        <color rgb="FFFFFFFF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FFFFFF"/>
      </right>
      <top style="medium">
        <color rgb="FF000000"/>
      </top>
      <bottom style="medium">
        <color rgb="FF000000"/>
      </bottom>
      <diagonal/>
    </border>
    <border>
      <left style="medium">
        <color rgb="FFFFFFFF"/>
      </left>
      <right style="medium">
        <color rgb="FFFFFFFF"/>
      </right>
      <top style="medium">
        <color rgb="FF000000"/>
      </top>
      <bottom style="medium">
        <color rgb="FF000000"/>
      </bottom>
      <diagonal/>
    </border>
    <border>
      <left style="medium">
        <color rgb="FFFFFFFF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FFFFFF"/>
      </right>
      <top style="medium">
        <color rgb="FF000000"/>
      </top>
      <bottom/>
      <diagonal/>
    </border>
    <border>
      <left style="thin">
        <color rgb="FFFFFFFF"/>
      </left>
      <right style="thin">
        <color rgb="FFFFFFFF"/>
      </right>
      <top style="medium">
        <color rgb="FF000000"/>
      </top>
      <bottom/>
      <diagonal/>
    </border>
    <border>
      <left style="thin">
        <color rgb="FFFFFFFF"/>
      </left>
      <right style="medium">
        <color rgb="FF000000"/>
      </right>
      <top style="medium">
        <color rgb="FF000000"/>
      </top>
      <bottom/>
      <diagonal/>
    </border>
    <border>
      <left style="thin">
        <color rgb="FFFFFFFF"/>
      </left>
      <right/>
      <top style="thin">
        <color rgb="FF000000"/>
      </top>
      <bottom style="thin">
        <color rgb="FF000000"/>
      </bottom>
      <diagonal/>
    </border>
    <border>
      <left style="thin">
        <color rgb="FFEEECE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EEECE1"/>
      </right>
      <top/>
      <bottom style="thin">
        <color rgb="FF000000"/>
      </bottom>
      <diagonal/>
    </border>
    <border>
      <left style="thin">
        <color rgb="FFEEECE1"/>
      </left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A3864F"/>
      </bottom>
      <diagonal/>
    </border>
    <border>
      <left style="thin">
        <color rgb="FFFFFFFF"/>
      </left>
      <right/>
      <top style="thin">
        <color rgb="FFA3864F"/>
      </top>
      <bottom style="thin">
        <color rgb="FF000000"/>
      </bottom>
      <diagonal/>
    </border>
    <border>
      <left style="thin">
        <color rgb="FFA3864F"/>
      </left>
      <right style="thin">
        <color rgb="FF000000"/>
      </right>
      <top style="thin">
        <color rgb="FFA3864F"/>
      </top>
      <bottom style="thin">
        <color rgb="FF000000"/>
      </bottom>
      <diagonal/>
    </border>
    <border>
      <left style="thin">
        <color rgb="FF000000"/>
      </left>
      <right style="thin">
        <color rgb="FFEEECE1"/>
      </right>
      <top style="thin">
        <color rgb="FF000000"/>
      </top>
      <bottom/>
      <diagonal/>
    </border>
    <border>
      <left style="thin">
        <color rgb="FFEEECE1"/>
      </left>
      <right style="thin">
        <color rgb="FFEEECE1"/>
      </right>
      <top style="thin">
        <color rgb="FF000000"/>
      </top>
      <bottom/>
      <diagonal/>
    </border>
    <border>
      <left style="thin">
        <color rgb="FFEEECE1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EEECE1"/>
      </right>
      <top/>
      <bottom style="thin">
        <color rgb="FF000000"/>
      </bottom>
      <diagonal/>
    </border>
    <border>
      <left style="thin">
        <color rgb="FF000000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000000"/>
      </right>
      <top/>
      <bottom style="thin">
        <color rgb="FFFFFFFF"/>
      </bottom>
      <diagonal/>
    </border>
  </borders>
  <cellStyleXfs count="1">
    <xf numFmtId="0" fontId="0" fillId="0" borderId="0"/>
  </cellStyleXfs>
  <cellXfs count="509">
    <xf numFmtId="0" fontId="0" fillId="0" borderId="0" xfId="0" applyFont="1" applyAlignment="1"/>
    <xf numFmtId="0" fontId="1" fillId="0" borderId="1" xfId="0" applyFont="1" applyBorder="1" applyAlignment="1">
      <alignment horizontal="right" wrapText="1"/>
    </xf>
    <xf numFmtId="0" fontId="1" fillId="2" borderId="6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right" wrapText="1"/>
    </xf>
    <xf numFmtId="0" fontId="1" fillId="0" borderId="7" xfId="0" applyFont="1" applyBorder="1" applyAlignment="1">
      <alignment horizontal="center" wrapText="1"/>
    </xf>
    <xf numFmtId="0" fontId="1" fillId="3" borderId="8" xfId="0" applyFont="1" applyFill="1" applyBorder="1" applyAlignment="1">
      <alignment horizontal="center" wrapText="1"/>
    </xf>
    <xf numFmtId="0" fontId="1" fillId="4" borderId="9" xfId="0" applyFont="1" applyFill="1" applyBorder="1" applyAlignment="1">
      <alignment horizontal="center" wrapText="1"/>
    </xf>
    <xf numFmtId="0" fontId="1" fillId="4" borderId="7" xfId="0" applyFont="1" applyFill="1" applyBorder="1" applyAlignment="1">
      <alignment horizontal="center" wrapText="1"/>
    </xf>
    <xf numFmtId="0" fontId="1" fillId="4" borderId="8" xfId="0" applyFont="1" applyFill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6" xfId="0" applyFont="1" applyBorder="1" applyAlignment="1">
      <alignment horizontal="right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4" fillId="5" borderId="11" xfId="0" applyFont="1" applyFill="1" applyBorder="1" applyAlignment="1">
      <alignment horizontal="left" wrapText="1"/>
    </xf>
    <xf numFmtId="0" fontId="3" fillId="5" borderId="12" xfId="0" applyFont="1" applyFill="1" applyBorder="1" applyAlignment="1">
      <alignment horizontal="right" wrapText="1"/>
    </xf>
    <xf numFmtId="0" fontId="3" fillId="3" borderId="13" xfId="0" applyFont="1" applyFill="1" applyBorder="1" applyAlignment="1">
      <alignment horizontal="right" wrapText="1"/>
    </xf>
    <xf numFmtId="0" fontId="3" fillId="5" borderId="14" xfId="0" applyFont="1" applyFill="1" applyBorder="1" applyAlignment="1">
      <alignment horizontal="right" wrapText="1"/>
    </xf>
    <xf numFmtId="0" fontId="3" fillId="5" borderId="13" xfId="0" applyFont="1" applyFill="1" applyBorder="1" applyAlignment="1">
      <alignment horizontal="right" wrapText="1"/>
    </xf>
    <xf numFmtId="0" fontId="3" fillId="5" borderId="15" xfId="0" applyFont="1" applyFill="1" applyBorder="1" applyAlignment="1">
      <alignment horizontal="right" wrapText="1"/>
    </xf>
    <xf numFmtId="0" fontId="5" fillId="0" borderId="7" xfId="0" applyFont="1" applyBorder="1"/>
    <xf numFmtId="0" fontId="3" fillId="0" borderId="7" xfId="0" applyFont="1" applyBorder="1" applyAlignment="1">
      <alignment horizontal="left" wrapText="1"/>
    </xf>
    <xf numFmtId="0" fontId="3" fillId="0" borderId="7" xfId="0" applyFont="1" applyBorder="1" applyAlignment="1">
      <alignment horizontal="right" wrapText="1"/>
    </xf>
    <xf numFmtId="0" fontId="3" fillId="3" borderId="8" xfId="0" applyFont="1" applyFill="1" applyBorder="1" applyAlignment="1">
      <alignment horizontal="right" wrapText="1"/>
    </xf>
    <xf numFmtId="2" fontId="3" fillId="0" borderId="10" xfId="0" applyNumberFormat="1" applyFont="1" applyBorder="1" applyAlignment="1">
      <alignment horizontal="right" wrapText="1"/>
    </xf>
    <xf numFmtId="2" fontId="3" fillId="0" borderId="7" xfId="0" applyNumberFormat="1" applyFont="1" applyBorder="1" applyAlignment="1">
      <alignment horizontal="right" wrapText="1"/>
    </xf>
    <xf numFmtId="2" fontId="3" fillId="0" borderId="8" xfId="0" applyNumberFormat="1" applyFont="1" applyBorder="1" applyAlignment="1">
      <alignment horizontal="right" wrapText="1"/>
    </xf>
    <xf numFmtId="2" fontId="3" fillId="0" borderId="4" xfId="0" applyNumberFormat="1" applyFont="1" applyBorder="1" applyAlignment="1">
      <alignment horizontal="right" wrapText="1"/>
    </xf>
    <xf numFmtId="0" fontId="5" fillId="0" borderId="7" xfId="0" applyFont="1" applyBorder="1" applyAlignment="1"/>
    <xf numFmtId="2" fontId="5" fillId="0" borderId="7" xfId="0" applyNumberFormat="1" applyFont="1" applyBorder="1"/>
    <xf numFmtId="0" fontId="3" fillId="3" borderId="8" xfId="0" applyFont="1" applyFill="1" applyBorder="1" applyAlignment="1">
      <alignment horizontal="right" wrapText="1"/>
    </xf>
    <xf numFmtId="2" fontId="5" fillId="0" borderId="0" xfId="0" applyNumberFormat="1" applyFont="1"/>
    <xf numFmtId="0" fontId="3" fillId="0" borderId="16" xfId="0" applyFont="1" applyBorder="1" applyAlignment="1">
      <alignment horizontal="left" wrapText="1"/>
    </xf>
    <xf numFmtId="0" fontId="3" fillId="0" borderId="16" xfId="0" applyFont="1" applyBorder="1" applyAlignment="1">
      <alignment horizontal="right" wrapText="1"/>
    </xf>
    <xf numFmtId="0" fontId="3" fillId="3" borderId="17" xfId="0" applyFont="1" applyFill="1" applyBorder="1" applyAlignment="1">
      <alignment horizontal="right" wrapText="1"/>
    </xf>
    <xf numFmtId="2" fontId="3" fillId="0" borderId="18" xfId="0" applyNumberFormat="1" applyFont="1" applyBorder="1" applyAlignment="1">
      <alignment horizontal="right" wrapText="1"/>
    </xf>
    <xf numFmtId="2" fontId="3" fillId="0" borderId="16" xfId="0" applyNumberFormat="1" applyFont="1" applyBorder="1" applyAlignment="1">
      <alignment horizontal="right" wrapText="1"/>
    </xf>
    <xf numFmtId="2" fontId="3" fillId="0" borderId="17" xfId="0" applyNumberFormat="1" applyFont="1" applyBorder="1" applyAlignment="1">
      <alignment horizontal="right" wrapText="1"/>
    </xf>
    <xf numFmtId="2" fontId="3" fillId="0" borderId="19" xfId="0" applyNumberFormat="1" applyFont="1" applyBorder="1" applyAlignment="1">
      <alignment horizontal="right" wrapText="1"/>
    </xf>
    <xf numFmtId="0" fontId="1" fillId="0" borderId="20" xfId="0" applyFont="1" applyBorder="1" applyAlignment="1">
      <alignment horizontal="left" wrapText="1"/>
    </xf>
    <xf numFmtId="0" fontId="1" fillId="0" borderId="20" xfId="0" applyFont="1" applyBorder="1" applyAlignment="1">
      <alignment horizontal="right" wrapText="1"/>
    </xf>
    <xf numFmtId="0" fontId="1" fillId="3" borderId="20" xfId="0" applyFont="1" applyFill="1" applyBorder="1" applyAlignment="1">
      <alignment horizontal="right" wrapText="1"/>
    </xf>
    <xf numFmtId="2" fontId="1" fillId="0" borderId="21" xfId="0" applyNumberFormat="1" applyFont="1" applyBorder="1" applyAlignment="1">
      <alignment horizontal="right" wrapText="1"/>
    </xf>
    <xf numFmtId="2" fontId="1" fillId="0" borderId="20" xfId="0" applyNumberFormat="1" applyFont="1" applyBorder="1" applyAlignment="1">
      <alignment horizontal="right" wrapText="1"/>
    </xf>
    <xf numFmtId="2" fontId="1" fillId="0" borderId="22" xfId="0" applyNumberFormat="1" applyFont="1" applyBorder="1" applyAlignment="1">
      <alignment horizontal="right" wrapText="1"/>
    </xf>
    <xf numFmtId="2" fontId="6" fillId="0" borderId="7" xfId="0" applyNumberFormat="1" applyFont="1" applyBorder="1"/>
    <xf numFmtId="0" fontId="3" fillId="0" borderId="23" xfId="0" applyFont="1" applyBorder="1" applyAlignment="1">
      <alignment horizontal="left" wrapText="1"/>
    </xf>
    <xf numFmtId="0" fontId="3" fillId="0" borderId="23" xfId="0" applyFont="1" applyBorder="1" applyAlignment="1">
      <alignment horizontal="right" wrapText="1"/>
    </xf>
    <xf numFmtId="0" fontId="3" fillId="3" borderId="23" xfId="0" applyFont="1" applyFill="1" applyBorder="1" applyAlignment="1">
      <alignment horizontal="right" wrapText="1"/>
    </xf>
    <xf numFmtId="0" fontId="4" fillId="6" borderId="11" xfId="0" applyFont="1" applyFill="1" applyBorder="1" applyAlignment="1">
      <alignment horizontal="left" wrapText="1"/>
    </xf>
    <xf numFmtId="0" fontId="3" fillId="6" borderId="11" xfId="0" applyFont="1" applyFill="1" applyBorder="1" applyAlignment="1">
      <alignment horizontal="right" wrapText="1"/>
    </xf>
    <xf numFmtId="0" fontId="3" fillId="3" borderId="11" xfId="0" applyFont="1" applyFill="1" applyBorder="1" applyAlignment="1">
      <alignment horizontal="right" wrapText="1"/>
    </xf>
    <xf numFmtId="0" fontId="3" fillId="0" borderId="10" xfId="0" applyFont="1" applyBorder="1" applyAlignment="1">
      <alignment horizontal="right" wrapText="1"/>
    </xf>
    <xf numFmtId="0" fontId="3" fillId="0" borderId="8" xfId="0" applyFont="1" applyBorder="1" applyAlignment="1">
      <alignment horizontal="right" wrapText="1"/>
    </xf>
    <xf numFmtId="0" fontId="3" fillId="0" borderId="18" xfId="0" applyFont="1" applyBorder="1" applyAlignment="1">
      <alignment horizontal="right" wrapText="1"/>
    </xf>
    <xf numFmtId="0" fontId="3" fillId="0" borderId="17" xfId="0" applyFont="1" applyBorder="1" applyAlignment="1">
      <alignment horizontal="right" wrapText="1"/>
    </xf>
    <xf numFmtId="2" fontId="3" fillId="0" borderId="24" xfId="0" applyNumberFormat="1" applyFont="1" applyBorder="1" applyAlignment="1">
      <alignment horizontal="right" wrapText="1"/>
    </xf>
    <xf numFmtId="0" fontId="1" fillId="0" borderId="21" xfId="0" applyFont="1" applyBorder="1" applyAlignment="1">
      <alignment horizontal="right" wrapText="1"/>
    </xf>
    <xf numFmtId="0" fontId="3" fillId="4" borderId="7" xfId="0" applyFont="1" applyFill="1" applyBorder="1" applyAlignment="1">
      <alignment horizontal="left" wrapText="1"/>
    </xf>
    <xf numFmtId="2" fontId="3" fillId="7" borderId="5" xfId="0" applyNumberFormat="1" applyFont="1" applyFill="1" applyBorder="1" applyAlignment="1">
      <alignment horizontal="right" wrapText="1"/>
    </xf>
    <xf numFmtId="2" fontId="3" fillId="7" borderId="25" xfId="0" applyNumberFormat="1" applyFont="1" applyFill="1" applyBorder="1" applyAlignment="1">
      <alignment horizontal="right" wrapText="1"/>
    </xf>
    <xf numFmtId="2" fontId="3" fillId="0" borderId="7" xfId="0" applyNumberFormat="1" applyFont="1" applyBorder="1" applyAlignment="1">
      <alignment horizontal="right" wrapText="1"/>
    </xf>
    <xf numFmtId="2" fontId="3" fillId="0" borderId="8" xfId="0" applyNumberFormat="1" applyFont="1" applyBorder="1" applyAlignment="1">
      <alignment horizontal="right" wrapText="1"/>
    </xf>
    <xf numFmtId="3" fontId="3" fillId="3" borderId="8" xfId="0" applyNumberFormat="1" applyFont="1" applyFill="1" applyBorder="1" applyAlignment="1">
      <alignment horizontal="right" wrapText="1"/>
    </xf>
    <xf numFmtId="0" fontId="3" fillId="4" borderId="7" xfId="0" applyFont="1" applyFill="1" applyBorder="1" applyAlignment="1">
      <alignment horizontal="left" wrapText="1"/>
    </xf>
    <xf numFmtId="2" fontId="3" fillId="0" borderId="10" xfId="0" quotePrefix="1" applyNumberFormat="1" applyFont="1" applyBorder="1" applyAlignment="1">
      <alignment horizontal="right" wrapText="1"/>
    </xf>
    <xf numFmtId="0" fontId="3" fillId="4" borderId="26" xfId="0" applyFont="1" applyFill="1" applyBorder="1" applyAlignment="1">
      <alignment horizontal="left" wrapText="1"/>
    </xf>
    <xf numFmtId="0" fontId="3" fillId="0" borderId="16" xfId="0" quotePrefix="1" applyFont="1" applyBorder="1" applyAlignment="1">
      <alignment horizontal="right" wrapText="1"/>
    </xf>
    <xf numFmtId="3" fontId="3" fillId="3" borderId="17" xfId="0" applyNumberFormat="1" applyFont="1" applyFill="1" applyBorder="1" applyAlignment="1">
      <alignment horizontal="right" wrapText="1"/>
    </xf>
    <xf numFmtId="2" fontId="3" fillId="0" borderId="18" xfId="0" quotePrefix="1" applyNumberFormat="1" applyFont="1" applyBorder="1" applyAlignment="1">
      <alignment horizontal="right" wrapText="1"/>
    </xf>
    <xf numFmtId="2" fontId="3" fillId="0" borderId="16" xfId="0" quotePrefix="1" applyNumberFormat="1" applyFont="1" applyBorder="1" applyAlignment="1">
      <alignment horizontal="right" wrapText="1"/>
    </xf>
    <xf numFmtId="2" fontId="3" fillId="7" borderId="27" xfId="0" applyNumberFormat="1" applyFont="1" applyFill="1" applyBorder="1" applyAlignment="1">
      <alignment horizontal="right" wrapText="1"/>
    </xf>
    <xf numFmtId="0" fontId="7" fillId="4" borderId="0" xfId="0" applyFont="1" applyFill="1" applyAlignment="1">
      <alignment horizontal="left"/>
    </xf>
    <xf numFmtId="2" fontId="1" fillId="7" borderId="20" xfId="0" applyNumberFormat="1" applyFont="1" applyFill="1" applyBorder="1" applyAlignment="1">
      <alignment horizontal="righ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3" fillId="3" borderId="0" xfId="0" applyFont="1" applyFill="1" applyAlignment="1">
      <alignment horizontal="right"/>
    </xf>
    <xf numFmtId="0" fontId="4" fillId="6" borderId="28" xfId="0" applyFont="1" applyFill="1" applyBorder="1" applyAlignment="1">
      <alignment horizontal="left" wrapText="1"/>
    </xf>
    <xf numFmtId="3" fontId="4" fillId="6" borderId="28" xfId="0" applyNumberFormat="1" applyFont="1" applyFill="1" applyBorder="1" applyAlignment="1">
      <alignment horizontal="right" wrapText="1"/>
    </xf>
    <xf numFmtId="3" fontId="4" fillId="3" borderId="28" xfId="0" applyNumberFormat="1" applyFont="1" applyFill="1" applyBorder="1" applyAlignment="1">
      <alignment horizontal="right" wrapText="1"/>
    </xf>
    <xf numFmtId="0" fontId="4" fillId="6" borderId="28" xfId="0" applyFont="1" applyFill="1" applyBorder="1" applyAlignment="1">
      <alignment horizontal="right" wrapText="1"/>
    </xf>
    <xf numFmtId="0" fontId="3" fillId="6" borderId="29" xfId="0" applyFont="1" applyFill="1" applyBorder="1" applyAlignment="1">
      <alignment horizontal="right"/>
    </xf>
    <xf numFmtId="0" fontId="3" fillId="0" borderId="30" xfId="0" applyFont="1" applyBorder="1" applyAlignment="1">
      <alignment horizontal="left" wrapText="1"/>
    </xf>
    <xf numFmtId="3" fontId="3" fillId="0" borderId="16" xfId="0" applyNumberFormat="1" applyFont="1" applyBorder="1" applyAlignment="1">
      <alignment horizontal="right" wrapText="1"/>
    </xf>
    <xf numFmtId="3" fontId="3" fillId="3" borderId="31" xfId="0" applyNumberFormat="1" applyFont="1" applyFill="1" applyBorder="1" applyAlignment="1">
      <alignment horizontal="right" wrapText="1"/>
    </xf>
    <xf numFmtId="0" fontId="3" fillId="0" borderId="32" xfId="0" quotePrefix="1" applyFont="1" applyBorder="1" applyAlignment="1">
      <alignment horizontal="right" wrapText="1"/>
    </xf>
    <xf numFmtId="2" fontId="3" fillId="0" borderId="31" xfId="0" applyNumberFormat="1" applyFont="1" applyBorder="1" applyAlignment="1">
      <alignment horizontal="right" wrapText="1"/>
    </xf>
    <xf numFmtId="0" fontId="3" fillId="0" borderId="33" xfId="0" quotePrefix="1" applyFont="1" applyBorder="1" applyAlignment="1">
      <alignment horizontal="right" wrapText="1"/>
    </xf>
    <xf numFmtId="0" fontId="3" fillId="0" borderId="32" xfId="0" applyFont="1" applyBorder="1" applyAlignment="1">
      <alignment horizontal="right" wrapText="1"/>
    </xf>
    <xf numFmtId="0" fontId="3" fillId="7" borderId="34" xfId="0" applyFont="1" applyFill="1" applyBorder="1" applyAlignment="1">
      <alignment horizontal="right"/>
    </xf>
    <xf numFmtId="0" fontId="8" fillId="0" borderId="7" xfId="0" applyFont="1" applyBorder="1" applyAlignment="1"/>
    <xf numFmtId="0" fontId="1" fillId="0" borderId="35" xfId="0" applyFont="1" applyBorder="1" applyAlignment="1">
      <alignment horizontal="left" wrapText="1"/>
    </xf>
    <xf numFmtId="3" fontId="1" fillId="0" borderId="35" xfId="0" applyNumberFormat="1" applyFont="1" applyBorder="1" applyAlignment="1">
      <alignment horizontal="right" wrapText="1"/>
    </xf>
    <xf numFmtId="3" fontId="1" fillId="3" borderId="35" xfId="0" applyNumberFormat="1" applyFont="1" applyFill="1" applyBorder="1" applyAlignment="1">
      <alignment horizontal="right" wrapText="1"/>
    </xf>
    <xf numFmtId="0" fontId="1" fillId="0" borderId="35" xfId="0" quotePrefix="1" applyFont="1" applyBorder="1" applyAlignment="1">
      <alignment horizontal="right" wrapText="1"/>
    </xf>
    <xf numFmtId="2" fontId="1" fillId="0" borderId="35" xfId="0" applyNumberFormat="1" applyFont="1" applyBorder="1" applyAlignment="1">
      <alignment horizontal="right" wrapText="1"/>
    </xf>
    <xf numFmtId="0" fontId="1" fillId="0" borderId="35" xfId="0" applyFont="1" applyBorder="1" applyAlignment="1">
      <alignment horizontal="right" wrapText="1"/>
    </xf>
    <xf numFmtId="0" fontId="1" fillId="7" borderId="36" xfId="0" applyFont="1" applyFill="1" applyBorder="1" applyAlignment="1">
      <alignment horizontal="right"/>
    </xf>
    <xf numFmtId="0" fontId="9" fillId="0" borderId="7" xfId="0" applyFont="1" applyBorder="1" applyAlignment="1"/>
    <xf numFmtId="0" fontId="5" fillId="0" borderId="7" xfId="0" quotePrefix="1" applyFont="1" applyBorder="1" applyAlignment="1"/>
    <xf numFmtId="0" fontId="5" fillId="7" borderId="7" xfId="0" applyFont="1" applyFill="1" applyBorder="1"/>
    <xf numFmtId="2" fontId="6" fillId="0" borderId="7" xfId="0" applyNumberFormat="1" applyFont="1" applyBorder="1" applyAlignment="1"/>
    <xf numFmtId="0" fontId="6" fillId="0" borderId="7" xfId="0" applyFont="1" applyBorder="1" applyAlignment="1"/>
    <xf numFmtId="1" fontId="5" fillId="0" borderId="7" xfId="0" applyNumberFormat="1" applyFont="1" applyBorder="1"/>
    <xf numFmtId="0" fontId="10" fillId="3" borderId="7" xfId="0" applyFont="1" applyFill="1" applyBorder="1" applyAlignment="1"/>
    <xf numFmtId="0" fontId="10" fillId="3" borderId="7" xfId="0" applyFont="1" applyFill="1" applyBorder="1"/>
    <xf numFmtId="9" fontId="10" fillId="3" borderId="7" xfId="0" applyNumberFormat="1" applyFont="1" applyFill="1" applyBorder="1" applyAlignment="1"/>
    <xf numFmtId="0" fontId="10" fillId="8" borderId="7" xfId="0" applyFont="1" applyFill="1" applyBorder="1" applyAlignment="1"/>
    <xf numFmtId="0" fontId="10" fillId="8" borderId="7" xfId="0" applyFont="1" applyFill="1" applyBorder="1"/>
    <xf numFmtId="0" fontId="8" fillId="0" borderId="7" xfId="0" applyFont="1" applyBorder="1"/>
    <xf numFmtId="0" fontId="3" fillId="4" borderId="7" xfId="0" applyFont="1" applyFill="1" applyBorder="1" applyAlignment="1">
      <alignment horizontal="right" wrapText="1"/>
    </xf>
    <xf numFmtId="0" fontId="11" fillId="0" borderId="7" xfId="0" applyFont="1" applyBorder="1" applyAlignment="1"/>
    <xf numFmtId="0" fontId="11" fillId="0" borderId="7" xfId="0" applyFont="1" applyBorder="1"/>
    <xf numFmtId="2" fontId="11" fillId="0" borderId="7" xfId="0" applyNumberFormat="1" applyFont="1" applyBorder="1"/>
    <xf numFmtId="0" fontId="5" fillId="0" borderId="0" xfId="0" applyFont="1" applyAlignment="1"/>
    <xf numFmtId="0" fontId="12" fillId="9" borderId="0" xfId="0" applyFont="1" applyFill="1" applyAlignment="1"/>
    <xf numFmtId="0" fontId="12" fillId="9" borderId="0" xfId="0" applyFont="1" applyFill="1"/>
    <xf numFmtId="0" fontId="5" fillId="0" borderId="0" xfId="0" applyFont="1"/>
    <xf numFmtId="0" fontId="6" fillId="10" borderId="0" xfId="0" applyFont="1" applyFill="1" applyAlignment="1"/>
    <xf numFmtId="0" fontId="6" fillId="10" borderId="0" xfId="0" applyFont="1" applyFill="1"/>
    <xf numFmtId="2" fontId="6" fillId="10" borderId="0" xfId="0" applyNumberFormat="1" applyFont="1" applyFill="1"/>
    <xf numFmtId="0" fontId="13" fillId="0" borderId="37" xfId="0" applyFont="1" applyBorder="1" applyAlignment="1">
      <alignment horizontal="center"/>
    </xf>
    <xf numFmtId="10" fontId="6" fillId="0" borderId="7" xfId="0" applyNumberFormat="1" applyFont="1" applyBorder="1" applyAlignment="1"/>
    <xf numFmtId="0" fontId="6" fillId="0" borderId="0" xfId="0" applyFont="1"/>
    <xf numFmtId="4" fontId="5" fillId="0" borderId="7" xfId="0" applyNumberFormat="1" applyFont="1" applyBorder="1"/>
    <xf numFmtId="10" fontId="5" fillId="0" borderId="7" xfId="0" applyNumberFormat="1" applyFont="1" applyBorder="1"/>
    <xf numFmtId="0" fontId="9" fillId="6" borderId="0" xfId="0" applyFont="1" applyFill="1" applyAlignment="1"/>
    <xf numFmtId="2" fontId="8" fillId="0" borderId="0" xfId="0" applyNumberFormat="1" applyFont="1" applyAlignment="1">
      <alignment horizontal="right"/>
    </xf>
    <xf numFmtId="4" fontId="5" fillId="3" borderId="0" xfId="0" applyNumberFormat="1" applyFont="1" applyFill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center" wrapText="1"/>
    </xf>
    <xf numFmtId="0" fontId="14" fillId="4" borderId="0" xfId="0" applyFont="1" applyFill="1" applyAlignment="1">
      <alignment horizontal="left"/>
    </xf>
    <xf numFmtId="0" fontId="15" fillId="6" borderId="0" xfId="0" applyFont="1" applyFill="1" applyAlignment="1">
      <alignment horizontal="left"/>
    </xf>
    <xf numFmtId="0" fontId="8" fillId="0" borderId="0" xfId="0" applyFont="1" applyAlignment="1"/>
    <xf numFmtId="0" fontId="8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6" fillId="0" borderId="0" xfId="0" applyFont="1" applyAlignment="1"/>
    <xf numFmtId="0" fontId="16" fillId="0" borderId="0" xfId="0" applyFont="1" applyAlignment="1">
      <alignment horizontal="right"/>
    </xf>
    <xf numFmtId="0" fontId="13" fillId="0" borderId="0" xfId="0" applyFont="1" applyAlignment="1"/>
    <xf numFmtId="2" fontId="8" fillId="0" borderId="0" xfId="0" applyNumberFormat="1" applyFont="1"/>
    <xf numFmtId="0" fontId="13" fillId="0" borderId="0" xfId="0" applyFont="1" applyAlignment="1"/>
    <xf numFmtId="10" fontId="13" fillId="0" borderId="0" xfId="0" applyNumberFormat="1" applyFont="1" applyAlignment="1"/>
    <xf numFmtId="0" fontId="6" fillId="0" borderId="0" xfId="0" applyFont="1" applyAlignment="1"/>
    <xf numFmtId="0" fontId="13" fillId="0" borderId="0" xfId="0" applyFont="1" applyAlignment="1">
      <alignment horizontal="right"/>
    </xf>
    <xf numFmtId="10" fontId="5" fillId="0" borderId="0" xfId="0" applyNumberFormat="1" applyFont="1"/>
    <xf numFmtId="10" fontId="13" fillId="0" borderId="0" xfId="0" applyNumberFormat="1" applyFont="1" applyAlignment="1">
      <alignment horizontal="right"/>
    </xf>
    <xf numFmtId="10" fontId="16" fillId="0" borderId="0" xfId="0" applyNumberFormat="1" applyFont="1" applyAlignment="1">
      <alignment horizontal="right"/>
    </xf>
    <xf numFmtId="10" fontId="5" fillId="0" borderId="0" xfId="0" applyNumberFormat="1" applyFont="1" applyAlignment="1"/>
    <xf numFmtId="2" fontId="6" fillId="0" borderId="0" xfId="0" applyNumberFormat="1" applyFont="1"/>
    <xf numFmtId="0" fontId="13" fillId="11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9" fontId="13" fillId="12" borderId="0" xfId="0" applyNumberFormat="1" applyFont="1" applyFill="1" applyAlignment="1">
      <alignment horizontal="center"/>
    </xf>
    <xf numFmtId="0" fontId="1" fillId="0" borderId="7" xfId="0" applyFont="1" applyBorder="1" applyAlignment="1"/>
    <xf numFmtId="0" fontId="1" fillId="0" borderId="2" xfId="0" applyFont="1" applyBorder="1" applyAlignment="1"/>
    <xf numFmtId="0" fontId="1" fillId="0" borderId="0" xfId="0" applyFont="1" applyAlignment="1"/>
    <xf numFmtId="0" fontId="3" fillId="13" borderId="0" xfId="0" applyFont="1" applyFill="1"/>
    <xf numFmtId="0" fontId="3" fillId="3" borderId="0" xfId="0" applyFont="1" applyFill="1"/>
    <xf numFmtId="2" fontId="3" fillId="0" borderId="38" xfId="0" applyNumberFormat="1" applyFont="1" applyBorder="1"/>
    <xf numFmtId="2" fontId="3" fillId="0" borderId="39" xfId="0" applyNumberFormat="1" applyFont="1" applyBorder="1"/>
    <xf numFmtId="2" fontId="3" fillId="0" borderId="40" xfId="0" applyNumberFormat="1" applyFont="1" applyBorder="1"/>
    <xf numFmtId="2" fontId="3" fillId="0" borderId="0" xfId="0" applyNumberFormat="1" applyFont="1"/>
    <xf numFmtId="0" fontId="3" fillId="0" borderId="0" xfId="0" applyFont="1"/>
    <xf numFmtId="2" fontId="3" fillId="0" borderId="41" xfId="0" applyNumberFormat="1" applyFont="1" applyBorder="1"/>
    <xf numFmtId="2" fontId="3" fillId="0" borderId="42" xfId="0" applyNumberFormat="1" applyFont="1" applyBorder="1"/>
    <xf numFmtId="2" fontId="3" fillId="0" borderId="43" xfId="0" applyNumberFormat="1" applyFont="1" applyBorder="1"/>
    <xf numFmtId="2" fontId="3" fillId="0" borderId="44" xfId="0" applyNumberFormat="1" applyFont="1" applyBorder="1"/>
    <xf numFmtId="2" fontId="3" fillId="0" borderId="45" xfId="0" applyNumberFormat="1" applyFont="1" applyBorder="1"/>
    <xf numFmtId="2" fontId="3" fillId="0" borderId="46" xfId="0" applyNumberFormat="1" applyFont="1" applyBorder="1"/>
    <xf numFmtId="2" fontId="3" fillId="0" borderId="47" xfId="0" applyNumberFormat="1" applyFont="1" applyBorder="1"/>
    <xf numFmtId="2" fontId="1" fillId="0" borderId="48" xfId="0" applyNumberFormat="1" applyFont="1" applyBorder="1"/>
    <xf numFmtId="2" fontId="1" fillId="0" borderId="49" xfId="0" applyNumberFormat="1" applyFont="1" applyBorder="1"/>
    <xf numFmtId="2" fontId="1" fillId="0" borderId="50" xfId="0" applyNumberFormat="1" applyFont="1" applyBorder="1"/>
    <xf numFmtId="2" fontId="1" fillId="0" borderId="0" xfId="0" applyNumberFormat="1" applyFont="1"/>
    <xf numFmtId="2" fontId="3" fillId="13" borderId="0" xfId="0" applyNumberFormat="1" applyFont="1" applyFill="1"/>
    <xf numFmtId="0" fontId="4" fillId="13" borderId="11" xfId="0" applyFont="1" applyFill="1" applyBorder="1" applyAlignment="1">
      <alignment horizontal="left" wrapText="1"/>
    </xf>
    <xf numFmtId="2" fontId="3" fillId="0" borderId="41" xfId="0" applyNumberFormat="1" applyFont="1" applyBorder="1" applyAlignment="1"/>
    <xf numFmtId="2" fontId="3" fillId="0" borderId="42" xfId="0" applyNumberFormat="1" applyFont="1" applyBorder="1" applyAlignment="1"/>
    <xf numFmtId="2" fontId="3" fillId="0" borderId="44" xfId="0" quotePrefix="1" applyNumberFormat="1" applyFont="1" applyBorder="1" applyAlignment="1">
      <alignment horizontal="right"/>
    </xf>
    <xf numFmtId="2" fontId="3" fillId="0" borderId="51" xfId="0" applyNumberFormat="1" applyFont="1" applyBorder="1"/>
    <xf numFmtId="2" fontId="3" fillId="0" borderId="52" xfId="0" applyNumberFormat="1" applyFont="1" applyBorder="1"/>
    <xf numFmtId="2" fontId="3" fillId="0" borderId="53" xfId="0" applyNumberFormat="1" applyFont="1" applyBorder="1"/>
    <xf numFmtId="0" fontId="17" fillId="0" borderId="0" xfId="0" applyFont="1" applyAlignment="1"/>
    <xf numFmtId="0" fontId="17" fillId="0" borderId="0" xfId="0" quotePrefix="1" applyFont="1" applyAlignment="1">
      <alignment horizontal="right"/>
    </xf>
    <xf numFmtId="2" fontId="17" fillId="0" borderId="0" xfId="0" applyNumberFormat="1" applyFont="1"/>
    <xf numFmtId="2" fontId="18" fillId="0" borderId="0" xfId="0" applyNumberFormat="1" applyFont="1"/>
    <xf numFmtId="0" fontId="19" fillId="0" borderId="7" xfId="0" applyFont="1" applyBorder="1" applyAlignment="1"/>
    <xf numFmtId="2" fontId="19" fillId="0" borderId="7" xfId="0" applyNumberFormat="1" applyFont="1" applyBorder="1" applyAlignment="1"/>
    <xf numFmtId="2" fontId="19" fillId="0" borderId="7" xfId="0" applyNumberFormat="1" applyFont="1" applyBorder="1"/>
    <xf numFmtId="2" fontId="19" fillId="0" borderId="2" xfId="0" applyNumberFormat="1" applyFont="1" applyBorder="1"/>
    <xf numFmtId="2" fontId="11" fillId="0" borderId="0" xfId="0" applyNumberFormat="1" applyFont="1"/>
    <xf numFmtId="0" fontId="3" fillId="0" borderId="7" xfId="0" applyFont="1" applyBorder="1" applyAlignment="1"/>
    <xf numFmtId="2" fontId="3" fillId="0" borderId="38" xfId="0" applyNumberFormat="1" applyFont="1" applyBorder="1" applyAlignment="1"/>
    <xf numFmtId="2" fontId="3" fillId="0" borderId="39" xfId="0" applyNumberFormat="1" applyFont="1" applyBorder="1" applyAlignment="1"/>
    <xf numFmtId="2" fontId="3" fillId="0" borderId="40" xfId="0" applyNumberFormat="1" applyFont="1" applyBorder="1" applyAlignment="1"/>
    <xf numFmtId="2" fontId="3" fillId="0" borderId="0" xfId="0" applyNumberFormat="1" applyFont="1" applyAlignment="1"/>
    <xf numFmtId="2" fontId="3" fillId="0" borderId="43" xfId="0" applyNumberFormat="1" applyFont="1" applyBorder="1" applyAlignment="1"/>
    <xf numFmtId="2" fontId="3" fillId="0" borderId="54" xfId="0" applyNumberFormat="1" applyFont="1" applyBorder="1" applyAlignment="1"/>
    <xf numFmtId="2" fontId="3" fillId="0" borderId="46" xfId="0" applyNumberFormat="1" applyFont="1" applyBorder="1" applyAlignment="1"/>
    <xf numFmtId="2" fontId="1" fillId="0" borderId="7" xfId="0" applyNumberFormat="1" applyFont="1" applyBorder="1"/>
    <xf numFmtId="2" fontId="1" fillId="0" borderId="2" xfId="0" applyNumberFormat="1" applyFont="1" applyBorder="1"/>
    <xf numFmtId="2" fontId="3" fillId="4" borderId="38" xfId="0" applyNumberFormat="1" applyFont="1" applyFill="1" applyBorder="1" applyAlignment="1">
      <alignment horizontal="right" wrapText="1"/>
    </xf>
    <xf numFmtId="2" fontId="3" fillId="4" borderId="39" xfId="0" applyNumberFormat="1" applyFont="1" applyFill="1" applyBorder="1" applyAlignment="1">
      <alignment horizontal="right" wrapText="1"/>
    </xf>
    <xf numFmtId="2" fontId="3" fillId="0" borderId="47" xfId="0" applyNumberFormat="1" applyFont="1" applyBorder="1" applyAlignment="1"/>
    <xf numFmtId="2" fontId="3" fillId="0" borderId="7" xfId="0" applyNumberFormat="1" applyFont="1" applyBorder="1"/>
    <xf numFmtId="2" fontId="3" fillId="0" borderId="2" xfId="0" applyNumberFormat="1" applyFont="1" applyBorder="1"/>
    <xf numFmtId="0" fontId="5" fillId="14" borderId="0" xfId="0" applyFont="1" applyFill="1"/>
    <xf numFmtId="0" fontId="1" fillId="15" borderId="55" xfId="0" applyFont="1" applyFill="1" applyBorder="1" applyAlignment="1">
      <alignment horizontal="left"/>
    </xf>
    <xf numFmtId="2" fontId="1" fillId="15" borderId="56" xfId="0" applyNumberFormat="1" applyFont="1" applyFill="1" applyBorder="1" applyAlignment="1">
      <alignment horizontal="right"/>
    </xf>
    <xf numFmtId="2" fontId="1" fillId="15" borderId="57" xfId="0" applyNumberFormat="1" applyFont="1" applyFill="1" applyBorder="1" applyAlignment="1">
      <alignment horizontal="right"/>
    </xf>
    <xf numFmtId="0" fontId="1" fillId="15" borderId="0" xfId="0" applyFont="1" applyFill="1" applyAlignment="1">
      <alignment horizontal="right"/>
    </xf>
    <xf numFmtId="0" fontId="20" fillId="0" borderId="58" xfId="0" applyFont="1" applyBorder="1" applyAlignment="1">
      <alignment horizontal="left"/>
    </xf>
    <xf numFmtId="2" fontId="3" fillId="0" borderId="59" xfId="0" applyNumberFormat="1" applyFont="1" applyBorder="1" applyAlignment="1">
      <alignment horizontal="right"/>
    </xf>
    <xf numFmtId="2" fontId="3" fillId="0" borderId="39" xfId="0" applyNumberFormat="1" applyFont="1" applyBorder="1" applyAlignment="1">
      <alignment horizontal="right"/>
    </xf>
    <xf numFmtId="2" fontId="3" fillId="0" borderId="39" xfId="0" applyNumberFormat="1" applyFont="1" applyBorder="1" applyAlignment="1">
      <alignment horizontal="right"/>
    </xf>
    <xf numFmtId="2" fontId="3" fillId="0" borderId="40" xfId="0" applyNumberFormat="1" applyFont="1" applyBorder="1" applyAlignment="1">
      <alignment horizontal="right"/>
    </xf>
    <xf numFmtId="2" fontId="3" fillId="0" borderId="0" xfId="0" applyNumberFormat="1" applyFont="1" applyAlignment="1">
      <alignment horizontal="right"/>
    </xf>
    <xf numFmtId="0" fontId="20" fillId="0" borderId="42" xfId="0" applyFont="1" applyBorder="1" applyAlignment="1">
      <alignment horizontal="left"/>
    </xf>
    <xf numFmtId="2" fontId="3" fillId="0" borderId="60" xfId="0" applyNumberFormat="1" applyFont="1" applyBorder="1" applyAlignment="1">
      <alignment horizontal="right"/>
    </xf>
    <xf numFmtId="2" fontId="3" fillId="0" borderId="42" xfId="0" applyNumberFormat="1" applyFont="1" applyBorder="1" applyAlignment="1">
      <alignment horizontal="right"/>
    </xf>
    <xf numFmtId="2" fontId="3" fillId="0" borderId="42" xfId="0" applyNumberFormat="1" applyFont="1" applyBorder="1" applyAlignment="1">
      <alignment horizontal="right"/>
    </xf>
    <xf numFmtId="2" fontId="3" fillId="0" borderId="43" xfId="0" applyNumberFormat="1" applyFont="1" applyBorder="1" applyAlignment="1">
      <alignment horizontal="right"/>
    </xf>
    <xf numFmtId="0" fontId="20" fillId="0" borderId="45" xfId="0" applyFont="1" applyBorder="1" applyAlignment="1">
      <alignment horizontal="left"/>
    </xf>
    <xf numFmtId="2" fontId="3" fillId="0" borderId="61" xfId="0" applyNumberFormat="1" applyFont="1" applyBorder="1" applyAlignment="1">
      <alignment horizontal="right"/>
    </xf>
    <xf numFmtId="2" fontId="3" fillId="0" borderId="46" xfId="0" applyNumberFormat="1" applyFont="1" applyBorder="1" applyAlignment="1">
      <alignment horizontal="right"/>
    </xf>
    <xf numFmtId="2" fontId="3" fillId="0" borderId="46" xfId="0" applyNumberFormat="1" applyFont="1" applyBorder="1" applyAlignment="1">
      <alignment horizontal="right"/>
    </xf>
    <xf numFmtId="2" fontId="3" fillId="0" borderId="47" xfId="0" applyNumberFormat="1" applyFont="1" applyBorder="1" applyAlignment="1">
      <alignment horizontal="right"/>
    </xf>
    <xf numFmtId="2" fontId="1" fillId="15" borderId="0" xfId="0" applyNumberFormat="1" applyFont="1" applyFill="1" applyAlignment="1">
      <alignment horizontal="right"/>
    </xf>
    <xf numFmtId="2" fontId="1" fillId="15" borderId="62" xfId="0" applyNumberFormat="1" applyFont="1" applyFill="1" applyBorder="1" applyAlignment="1">
      <alignment horizontal="right"/>
    </xf>
    <xf numFmtId="2" fontId="1" fillId="15" borderId="63" xfId="0" applyNumberFormat="1" applyFont="1" applyFill="1" applyBorder="1" applyAlignment="1">
      <alignment horizontal="right"/>
    </xf>
    <xf numFmtId="0" fontId="20" fillId="0" borderId="38" xfId="0" applyFont="1" applyBorder="1" applyAlignment="1">
      <alignment horizontal="left"/>
    </xf>
    <xf numFmtId="2" fontId="20" fillId="0" borderId="59" xfId="0" applyNumberFormat="1" applyFont="1" applyBorder="1" applyAlignment="1">
      <alignment horizontal="right"/>
    </xf>
    <xf numFmtId="2" fontId="20" fillId="0" borderId="39" xfId="0" applyNumberFormat="1" applyFont="1" applyBorder="1" applyAlignment="1">
      <alignment horizontal="right"/>
    </xf>
    <xf numFmtId="2" fontId="3" fillId="0" borderId="40" xfId="0" applyNumberFormat="1" applyFont="1" applyBorder="1" applyAlignment="1">
      <alignment horizontal="right"/>
    </xf>
    <xf numFmtId="2" fontId="3" fillId="0" borderId="0" xfId="0" applyNumberFormat="1" applyFont="1" applyAlignment="1">
      <alignment horizontal="right"/>
    </xf>
    <xf numFmtId="0" fontId="20" fillId="0" borderId="41" xfId="0" applyFont="1" applyBorder="1" applyAlignment="1">
      <alignment horizontal="left"/>
    </xf>
    <xf numFmtId="2" fontId="20" fillId="0" borderId="60" xfId="0" applyNumberFormat="1" applyFont="1" applyBorder="1" applyAlignment="1">
      <alignment horizontal="right"/>
    </xf>
    <xf numFmtId="2" fontId="20" fillId="0" borderId="42" xfId="0" applyNumberFormat="1" applyFont="1" applyBorder="1" applyAlignment="1">
      <alignment horizontal="right"/>
    </xf>
    <xf numFmtId="2" fontId="3" fillId="0" borderId="43" xfId="0" applyNumberFormat="1" applyFont="1" applyBorder="1" applyAlignment="1">
      <alignment horizontal="right"/>
    </xf>
    <xf numFmtId="0" fontId="20" fillId="0" borderId="54" xfId="0" applyFont="1" applyBorder="1" applyAlignment="1">
      <alignment horizontal="left"/>
    </xf>
    <xf numFmtId="2" fontId="20" fillId="0" borderId="61" xfId="0" applyNumberFormat="1" applyFont="1" applyBorder="1" applyAlignment="1">
      <alignment horizontal="right"/>
    </xf>
    <xf numFmtId="2" fontId="20" fillId="0" borderId="46" xfId="0" applyNumberFormat="1" applyFont="1" applyBorder="1" applyAlignment="1">
      <alignment horizontal="right"/>
    </xf>
    <xf numFmtId="2" fontId="3" fillId="0" borderId="47" xfId="0" applyNumberFormat="1" applyFont="1" applyBorder="1" applyAlignment="1">
      <alignment horizontal="right"/>
    </xf>
    <xf numFmtId="2" fontId="1" fillId="15" borderId="56" xfId="0" applyNumberFormat="1" applyFont="1" applyFill="1" applyBorder="1" applyAlignment="1">
      <alignment horizontal="right"/>
    </xf>
    <xf numFmtId="2" fontId="20" fillId="0" borderId="39" xfId="0" applyNumberFormat="1" applyFont="1" applyBorder="1" applyAlignment="1">
      <alignment horizontal="right"/>
    </xf>
    <xf numFmtId="2" fontId="20" fillId="0" borderId="40" xfId="0" applyNumberFormat="1" applyFont="1" applyBorder="1" applyAlignment="1">
      <alignment horizontal="right"/>
    </xf>
    <xf numFmtId="2" fontId="20" fillId="0" borderId="0" xfId="0" applyNumberFormat="1" applyFont="1" applyAlignment="1">
      <alignment horizontal="right"/>
    </xf>
    <xf numFmtId="0" fontId="20" fillId="0" borderId="44" xfId="0" applyFont="1" applyBorder="1" applyAlignment="1">
      <alignment horizontal="left"/>
    </xf>
    <xf numFmtId="2" fontId="20" fillId="0" borderId="64" xfId="0" applyNumberFormat="1" applyFont="1" applyBorder="1" applyAlignment="1">
      <alignment horizontal="right"/>
    </xf>
    <xf numFmtId="2" fontId="20" fillId="0" borderId="45" xfId="0" applyNumberFormat="1" applyFont="1" applyBorder="1" applyAlignment="1">
      <alignment horizontal="right"/>
    </xf>
    <xf numFmtId="2" fontId="3" fillId="0" borderId="45" xfId="0" applyNumberFormat="1" applyFont="1" applyBorder="1" applyAlignment="1">
      <alignment horizontal="right"/>
    </xf>
    <xf numFmtId="2" fontId="3" fillId="0" borderId="65" xfId="0" applyNumberFormat="1" applyFont="1" applyBorder="1" applyAlignment="1">
      <alignment horizontal="right"/>
    </xf>
    <xf numFmtId="0" fontId="21" fillId="0" borderId="54" xfId="0" applyFont="1" applyBorder="1" applyAlignment="1">
      <alignment horizontal="left"/>
    </xf>
    <xf numFmtId="2" fontId="21" fillId="0" borderId="46" xfId="0" applyNumberFormat="1" applyFont="1" applyBorder="1" applyAlignment="1">
      <alignment horizontal="right"/>
    </xf>
    <xf numFmtId="2" fontId="1" fillId="0" borderId="46" xfId="0" applyNumberFormat="1" applyFont="1" applyBorder="1" applyAlignment="1">
      <alignment horizontal="right"/>
    </xf>
    <xf numFmtId="2" fontId="1" fillId="0" borderId="47" xfId="0" applyNumberFormat="1" applyFont="1" applyBorder="1" applyAlignment="1">
      <alignment horizontal="right"/>
    </xf>
    <xf numFmtId="2" fontId="1" fillId="0" borderId="0" xfId="0" applyNumberFormat="1" applyFont="1" applyAlignment="1">
      <alignment horizontal="right"/>
    </xf>
    <xf numFmtId="0" fontId="21" fillId="15" borderId="55" xfId="0" applyFont="1" applyFill="1" applyBorder="1" applyAlignment="1">
      <alignment horizontal="left"/>
    </xf>
    <xf numFmtId="2" fontId="21" fillId="15" borderId="62" xfId="0" applyNumberFormat="1" applyFont="1" applyFill="1" applyBorder="1" applyAlignment="1">
      <alignment horizontal="right"/>
    </xf>
    <xf numFmtId="0" fontId="3" fillId="0" borderId="66" xfId="0" applyFont="1" applyBorder="1" applyAlignment="1">
      <alignment horizontal="left"/>
    </xf>
    <xf numFmtId="2" fontId="3" fillId="0" borderId="67" xfId="0" applyNumberFormat="1" applyFont="1" applyBorder="1" applyAlignment="1">
      <alignment horizontal="right"/>
    </xf>
    <xf numFmtId="2" fontId="3" fillId="0" borderId="67" xfId="0" applyNumberFormat="1" applyFont="1" applyBorder="1" applyAlignment="1">
      <alignment horizontal="right"/>
    </xf>
    <xf numFmtId="2" fontId="3" fillId="0" borderId="68" xfId="0" applyNumberFormat="1" applyFont="1" applyBorder="1" applyAlignment="1">
      <alignment horizontal="right"/>
    </xf>
    <xf numFmtId="0" fontId="22" fillId="16" borderId="69" xfId="0" applyFont="1" applyFill="1" applyBorder="1" applyAlignment="1">
      <alignment horizontal="left"/>
    </xf>
    <xf numFmtId="2" fontId="22" fillId="16" borderId="70" xfId="0" applyNumberFormat="1" applyFont="1" applyFill="1" applyBorder="1" applyAlignment="1">
      <alignment horizontal="right"/>
    </xf>
    <xf numFmtId="2" fontId="22" fillId="16" borderId="71" xfId="0" applyNumberFormat="1" applyFont="1" applyFill="1" applyBorder="1" applyAlignment="1">
      <alignment horizontal="right"/>
    </xf>
    <xf numFmtId="2" fontId="22" fillId="16" borderId="0" xfId="0" applyNumberFormat="1" applyFont="1" applyFill="1" applyAlignment="1">
      <alignment horizontal="righ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5" fillId="3" borderId="0" xfId="0" applyFont="1" applyFill="1" applyAlignment="1">
      <alignment horizontal="right"/>
    </xf>
    <xf numFmtId="0" fontId="3" fillId="0" borderId="72" xfId="0" applyFont="1" applyBorder="1" applyAlignment="1">
      <alignment horizontal="left"/>
    </xf>
    <xf numFmtId="2" fontId="20" fillId="0" borderId="58" xfId="0" applyNumberFormat="1" applyFont="1" applyBorder="1" applyAlignment="1">
      <alignment horizontal="right"/>
    </xf>
    <xf numFmtId="0" fontId="3" fillId="0" borderId="58" xfId="0" applyFont="1" applyBorder="1" applyAlignment="1">
      <alignment horizontal="right"/>
    </xf>
    <xf numFmtId="0" fontId="3" fillId="0" borderId="73" xfId="0" applyFont="1" applyBorder="1" applyAlignment="1">
      <alignment horizontal="right"/>
    </xf>
    <xf numFmtId="0" fontId="3" fillId="0" borderId="60" xfId="0" applyFont="1" applyBorder="1" applyAlignment="1">
      <alignment horizontal="left"/>
    </xf>
    <xf numFmtId="0" fontId="3" fillId="0" borderId="42" xfId="0" applyFont="1" applyBorder="1" applyAlignment="1">
      <alignment horizontal="right"/>
    </xf>
    <xf numFmtId="0" fontId="3" fillId="0" borderId="43" xfId="0" applyFont="1" applyBorder="1" applyAlignment="1">
      <alignment horizontal="right"/>
    </xf>
    <xf numFmtId="0" fontId="3" fillId="0" borderId="64" xfId="0" applyFont="1" applyBorder="1" applyAlignment="1">
      <alignment horizontal="left"/>
    </xf>
    <xf numFmtId="0" fontId="3" fillId="0" borderId="45" xfId="0" applyFont="1" applyBorder="1" applyAlignment="1">
      <alignment horizontal="right"/>
    </xf>
    <xf numFmtId="0" fontId="3" fillId="0" borderId="65" xfId="0" applyFont="1" applyBorder="1" applyAlignment="1">
      <alignment horizontal="right"/>
    </xf>
    <xf numFmtId="0" fontId="22" fillId="17" borderId="74" xfId="0" applyFont="1" applyFill="1" applyBorder="1" applyAlignment="1">
      <alignment horizontal="left"/>
    </xf>
    <xf numFmtId="2" fontId="22" fillId="17" borderId="75" xfId="0" applyNumberFormat="1" applyFont="1" applyFill="1" applyBorder="1"/>
    <xf numFmtId="2" fontId="22" fillId="17" borderId="75" xfId="0" applyNumberFormat="1" applyFont="1" applyFill="1" applyBorder="1" applyAlignment="1"/>
    <xf numFmtId="2" fontId="22" fillId="17" borderId="76" xfId="0" applyNumberFormat="1" applyFont="1" applyFill="1" applyBorder="1" applyAlignment="1"/>
    <xf numFmtId="0" fontId="22" fillId="17" borderId="0" xfId="0" applyFont="1" applyFill="1" applyAlignment="1"/>
    <xf numFmtId="0" fontId="3" fillId="3" borderId="0" xfId="0" applyFont="1" applyFill="1" applyAlignment="1">
      <alignment horizontal="left"/>
    </xf>
    <xf numFmtId="0" fontId="3" fillId="3" borderId="43" xfId="0" applyFont="1" applyFill="1" applyBorder="1" applyAlignment="1">
      <alignment horizontal="right"/>
    </xf>
    <xf numFmtId="0" fontId="3" fillId="3" borderId="0" xfId="0" applyFont="1" applyFill="1" applyAlignment="1">
      <alignment horizontal="right"/>
    </xf>
    <xf numFmtId="2" fontId="3" fillId="3" borderId="0" xfId="0" applyNumberFormat="1" applyFont="1" applyFill="1"/>
    <xf numFmtId="0" fontId="20" fillId="4" borderId="7" xfId="0" applyFont="1" applyFill="1" applyBorder="1" applyAlignment="1"/>
    <xf numFmtId="0" fontId="8" fillId="0" borderId="5" xfId="0" applyFont="1" applyBorder="1" applyAlignment="1"/>
    <xf numFmtId="0" fontId="8" fillId="0" borderId="10" xfId="0" applyFont="1" applyBorder="1" applyAlignment="1"/>
    <xf numFmtId="4" fontId="23" fillId="0" borderId="10" xfId="0" applyNumberFormat="1" applyFont="1" applyBorder="1" applyAlignment="1"/>
    <xf numFmtId="10" fontId="23" fillId="0" borderId="10" xfId="0" applyNumberFormat="1" applyFont="1" applyBorder="1" applyAlignment="1"/>
    <xf numFmtId="0" fontId="8" fillId="0" borderId="77" xfId="0" applyFont="1" applyBorder="1" applyAlignment="1"/>
    <xf numFmtId="0" fontId="8" fillId="0" borderId="37" xfId="0" applyFont="1" applyBorder="1" applyAlignment="1">
      <alignment horizontal="right"/>
    </xf>
    <xf numFmtId="4" fontId="8" fillId="0" borderId="37" xfId="0" applyNumberFormat="1" applyFont="1" applyBorder="1" applyAlignment="1">
      <alignment horizontal="center"/>
    </xf>
    <xf numFmtId="10" fontId="8" fillId="0" borderId="37" xfId="0" applyNumberFormat="1" applyFont="1" applyBorder="1" applyAlignment="1">
      <alignment horizontal="center"/>
    </xf>
    <xf numFmtId="0" fontId="8" fillId="0" borderId="77" xfId="0" applyFont="1" applyBorder="1" applyAlignment="1"/>
    <xf numFmtId="0" fontId="8" fillId="0" borderId="37" xfId="0" applyFont="1" applyBorder="1" applyAlignment="1">
      <alignment horizontal="right"/>
    </xf>
    <xf numFmtId="0" fontId="3" fillId="0" borderId="7" xfId="0" applyFont="1" applyBorder="1" applyAlignment="1"/>
    <xf numFmtId="0" fontId="3" fillId="0" borderId="7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2" fontId="3" fillId="4" borderId="7" xfId="0" applyNumberFormat="1" applyFont="1" applyFill="1" applyBorder="1" applyAlignment="1">
      <alignment horizontal="right"/>
    </xf>
    <xf numFmtId="2" fontId="3" fillId="0" borderId="7" xfId="0" applyNumberFormat="1" applyFont="1" applyBorder="1" applyAlignment="1">
      <alignment horizontal="right"/>
    </xf>
    <xf numFmtId="0" fontId="1" fillId="0" borderId="0" xfId="0" applyFont="1" applyAlignment="1">
      <alignment horizontal="center" wrapText="1"/>
    </xf>
    <xf numFmtId="2" fontId="3" fillId="0" borderId="7" xfId="0" applyNumberFormat="1" applyFont="1" applyBorder="1" applyAlignment="1"/>
    <xf numFmtId="0" fontId="24" fillId="0" borderId="0" xfId="0" applyFont="1"/>
    <xf numFmtId="10" fontId="24" fillId="0" borderId="7" xfId="0" applyNumberFormat="1" applyFont="1" applyBorder="1" applyAlignment="1">
      <alignment horizontal="center"/>
    </xf>
    <xf numFmtId="10" fontId="24" fillId="3" borderId="7" xfId="0" applyNumberFormat="1" applyFont="1" applyFill="1" applyBorder="1" applyAlignment="1">
      <alignment horizontal="center"/>
    </xf>
    <xf numFmtId="0" fontId="24" fillId="3" borderId="38" xfId="0" applyFont="1" applyFill="1" applyBorder="1" applyAlignment="1">
      <alignment horizontal="center"/>
    </xf>
    <xf numFmtId="0" fontId="24" fillId="3" borderId="39" xfId="0" applyFont="1" applyFill="1" applyBorder="1" applyAlignment="1">
      <alignment horizontal="center"/>
    </xf>
    <xf numFmtId="0" fontId="24" fillId="3" borderId="78" xfId="0" applyFont="1" applyFill="1" applyBorder="1" applyAlignment="1">
      <alignment horizontal="center"/>
    </xf>
    <xf numFmtId="0" fontId="24" fillId="3" borderId="41" xfId="0" applyFont="1" applyFill="1" applyBorder="1" applyAlignment="1">
      <alignment horizontal="center"/>
    </xf>
    <xf numFmtId="0" fontId="24" fillId="3" borderId="42" xfId="0" applyFont="1" applyFill="1" applyBorder="1" applyAlignment="1">
      <alignment horizontal="center"/>
    </xf>
    <xf numFmtId="0" fontId="24" fillId="3" borderId="80" xfId="0" applyFont="1" applyFill="1" applyBorder="1" applyAlignment="1">
      <alignment horizontal="center"/>
    </xf>
    <xf numFmtId="0" fontId="25" fillId="3" borderId="42" xfId="0" applyFont="1" applyFill="1" applyBorder="1" applyAlignment="1">
      <alignment horizontal="center"/>
    </xf>
    <xf numFmtId="0" fontId="5" fillId="0" borderId="38" xfId="0" applyFont="1" applyBorder="1" applyAlignment="1"/>
    <xf numFmtId="0" fontId="5" fillId="0" borderId="78" xfId="0" applyFont="1" applyBorder="1" applyAlignment="1"/>
    <xf numFmtId="2" fontId="26" fillId="3" borderId="41" xfId="0" applyNumberFormat="1" applyFont="1" applyFill="1" applyBorder="1" applyAlignment="1">
      <alignment horizontal="center"/>
    </xf>
    <xf numFmtId="0" fontId="5" fillId="0" borderId="41" xfId="0" applyFont="1" applyBorder="1" applyAlignment="1"/>
    <xf numFmtId="0" fontId="5" fillId="0" borderId="80" xfId="0" applyFont="1" applyBorder="1" applyAlignment="1"/>
    <xf numFmtId="0" fontId="24" fillId="3" borderId="54" xfId="0" applyFont="1" applyFill="1" applyBorder="1" applyAlignment="1">
      <alignment horizontal="center"/>
    </xf>
    <xf numFmtId="0" fontId="24" fillId="3" borderId="46" xfId="0" applyFont="1" applyFill="1" applyBorder="1" applyAlignment="1">
      <alignment horizontal="center"/>
    </xf>
    <xf numFmtId="0" fontId="24" fillId="3" borderId="81" xfId="0" applyFont="1" applyFill="1" applyBorder="1" applyAlignment="1">
      <alignment horizontal="center"/>
    </xf>
    <xf numFmtId="0" fontId="5" fillId="0" borderId="44" xfId="0" applyFont="1" applyBorder="1" applyAlignment="1"/>
    <xf numFmtId="0" fontId="5" fillId="0" borderId="82" xfId="0" applyFont="1" applyBorder="1" applyAlignment="1"/>
    <xf numFmtId="0" fontId="6" fillId="0" borderId="83" xfId="0" applyFont="1" applyBorder="1" applyAlignment="1"/>
    <xf numFmtId="0" fontId="6" fillId="0" borderId="84" xfId="0" applyFont="1" applyBorder="1"/>
    <xf numFmtId="0" fontId="27" fillId="0" borderId="83" xfId="0" applyFont="1" applyBorder="1" applyAlignment="1">
      <alignment horizontal="right"/>
    </xf>
    <xf numFmtId="0" fontId="27" fillId="0" borderId="85" xfId="0" applyFont="1" applyBorder="1" applyAlignment="1">
      <alignment horizontal="right"/>
    </xf>
    <xf numFmtId="0" fontId="27" fillId="0" borderId="84" xfId="0" applyFont="1" applyBorder="1" applyAlignment="1">
      <alignment horizontal="right"/>
    </xf>
    <xf numFmtId="0" fontId="28" fillId="15" borderId="86" xfId="0" applyFont="1" applyFill="1" applyBorder="1"/>
    <xf numFmtId="0" fontId="5" fillId="0" borderId="89" xfId="0" applyFont="1" applyBorder="1"/>
    <xf numFmtId="0" fontId="26" fillId="0" borderId="40" xfId="0" applyFont="1" applyBorder="1"/>
    <xf numFmtId="2" fontId="26" fillId="0" borderId="38" xfId="0" applyNumberFormat="1" applyFont="1" applyBorder="1"/>
    <xf numFmtId="2" fontId="26" fillId="0" borderId="39" xfId="0" applyNumberFormat="1" applyFont="1" applyBorder="1"/>
    <xf numFmtId="2" fontId="26" fillId="0" borderId="78" xfId="0" applyNumberFormat="1" applyFont="1" applyBorder="1"/>
    <xf numFmtId="0" fontId="26" fillId="0" borderId="43" xfId="0" applyFont="1" applyBorder="1"/>
    <xf numFmtId="2" fontId="26" fillId="0" borderId="41" xfId="0" applyNumberFormat="1" applyFont="1" applyBorder="1"/>
    <xf numFmtId="2" fontId="26" fillId="0" borderId="42" xfId="0" applyNumberFormat="1" applyFont="1" applyBorder="1"/>
    <xf numFmtId="2" fontId="26" fillId="0" borderId="80" xfId="0" applyNumberFormat="1" applyFont="1" applyBorder="1"/>
    <xf numFmtId="0" fontId="26" fillId="0" borderId="65" xfId="0" applyFont="1" applyBorder="1"/>
    <xf numFmtId="2" fontId="26" fillId="0" borderId="44" xfId="0" applyNumberFormat="1" applyFont="1" applyBorder="1"/>
    <xf numFmtId="2" fontId="26" fillId="0" borderId="45" xfId="0" applyNumberFormat="1" applyFont="1" applyBorder="1"/>
    <xf numFmtId="2" fontId="26" fillId="0" borderId="82" xfId="0" applyNumberFormat="1" applyFont="1" applyBorder="1"/>
    <xf numFmtId="0" fontId="27" fillId="0" borderId="50" xfId="0" applyFont="1" applyBorder="1"/>
    <xf numFmtId="2" fontId="27" fillId="0" borderId="90" xfId="0" applyNumberFormat="1" applyFont="1" applyBorder="1"/>
    <xf numFmtId="2" fontId="27" fillId="0" borderId="91" xfId="0" applyNumberFormat="1" applyFont="1" applyBorder="1"/>
    <xf numFmtId="2" fontId="27" fillId="0" borderId="21" xfId="0" applyNumberFormat="1" applyFont="1" applyBorder="1"/>
    <xf numFmtId="0" fontId="26" fillId="0" borderId="92" xfId="0" applyFont="1" applyBorder="1"/>
    <xf numFmtId="0" fontId="5" fillId="0" borderId="43" xfId="0" applyFont="1" applyBorder="1"/>
    <xf numFmtId="0" fontId="28" fillId="15" borderId="87" xfId="0" applyFont="1" applyFill="1" applyBorder="1"/>
    <xf numFmtId="0" fontId="28" fillId="15" borderId="88" xfId="0" applyFont="1" applyFill="1" applyBorder="1"/>
    <xf numFmtId="2" fontId="27" fillId="0" borderId="93" xfId="0" applyNumberFormat="1" applyFont="1" applyBorder="1"/>
    <xf numFmtId="2" fontId="27" fillId="0" borderId="49" xfId="0" applyNumberFormat="1" applyFont="1" applyBorder="1"/>
    <xf numFmtId="2" fontId="27" fillId="0" borderId="94" xfId="0" applyNumberFormat="1" applyFont="1" applyBorder="1"/>
    <xf numFmtId="0" fontId="26" fillId="0" borderId="38" xfId="0" applyFont="1" applyBorder="1"/>
    <xf numFmtId="0" fontId="26" fillId="0" borderId="39" xfId="0" applyFont="1" applyBorder="1"/>
    <xf numFmtId="0" fontId="26" fillId="0" borderId="78" xfId="0" applyFont="1" applyBorder="1"/>
    <xf numFmtId="2" fontId="26" fillId="0" borderId="41" xfId="0" applyNumberFormat="1" applyFont="1" applyBorder="1" applyAlignment="1"/>
    <xf numFmtId="2" fontId="26" fillId="0" borderId="42" xfId="0" applyNumberFormat="1" applyFont="1" applyBorder="1" applyAlignment="1"/>
    <xf numFmtId="0" fontId="26" fillId="0" borderId="43" xfId="0" applyFont="1" applyBorder="1" applyAlignment="1"/>
    <xf numFmtId="2" fontId="26" fillId="0" borderId="44" xfId="0" quotePrefix="1" applyNumberFormat="1" applyFont="1" applyBorder="1"/>
    <xf numFmtId="0" fontId="26" fillId="0" borderId="53" xfId="0" applyFont="1" applyBorder="1" applyAlignment="1"/>
    <xf numFmtId="2" fontId="26" fillId="0" borderId="51" xfId="0" applyNumberFormat="1" applyFont="1" applyBorder="1"/>
    <xf numFmtId="2" fontId="26" fillId="0" borderId="52" xfId="0" applyNumberFormat="1" applyFont="1" applyBorder="1"/>
    <xf numFmtId="2" fontId="26" fillId="0" borderId="95" xfId="0" applyNumberFormat="1" applyFont="1" applyBorder="1"/>
    <xf numFmtId="2" fontId="27" fillId="0" borderId="96" xfId="0" applyNumberFormat="1" applyFont="1" applyBorder="1"/>
    <xf numFmtId="2" fontId="27" fillId="0" borderId="97" xfId="0" applyNumberFormat="1" applyFont="1" applyBorder="1"/>
    <xf numFmtId="2" fontId="27" fillId="0" borderId="98" xfId="0" applyNumberFormat="1" applyFont="1" applyBorder="1"/>
    <xf numFmtId="0" fontId="26" fillId="0" borderId="45" xfId="0" applyFont="1" applyBorder="1" applyAlignment="1">
      <alignment horizontal="right"/>
    </xf>
    <xf numFmtId="0" fontId="26" fillId="0" borderId="40" xfId="0" applyFont="1" applyBorder="1" applyAlignment="1"/>
    <xf numFmtId="0" fontId="26" fillId="0" borderId="65" xfId="0" applyFont="1" applyBorder="1" applyAlignment="1"/>
    <xf numFmtId="0" fontId="26" fillId="0" borderId="44" xfId="0" quotePrefix="1" applyFont="1" applyBorder="1" applyAlignment="1">
      <alignment horizontal="right"/>
    </xf>
    <xf numFmtId="0" fontId="26" fillId="0" borderId="45" xfId="0" quotePrefix="1" applyFont="1" applyBorder="1" applyAlignment="1">
      <alignment horizontal="right"/>
    </xf>
    <xf numFmtId="2" fontId="27" fillId="0" borderId="93" xfId="0" applyNumberFormat="1" applyFont="1" applyBorder="1" applyAlignment="1">
      <alignment horizontal="right"/>
    </xf>
    <xf numFmtId="2" fontId="27" fillId="0" borderId="49" xfId="0" applyNumberFormat="1" applyFont="1" applyBorder="1" applyAlignment="1">
      <alignment horizontal="right"/>
    </xf>
    <xf numFmtId="2" fontId="27" fillId="0" borderId="94" xfId="0" applyNumberFormat="1" applyFont="1" applyBorder="1" applyAlignment="1">
      <alignment horizontal="right"/>
    </xf>
    <xf numFmtId="0" fontId="8" fillId="0" borderId="92" xfId="0" applyFont="1" applyBorder="1" applyAlignment="1"/>
    <xf numFmtId="2" fontId="26" fillId="0" borderId="65" xfId="0" applyNumberFormat="1" applyFont="1" applyBorder="1" applyAlignment="1"/>
    <xf numFmtId="2" fontId="26" fillId="0" borderId="44" xfId="0" applyNumberFormat="1" applyFont="1" applyBorder="1" applyAlignment="1">
      <alignment horizontal="right"/>
    </xf>
    <xf numFmtId="2" fontId="27" fillId="0" borderId="90" xfId="0" applyNumberFormat="1" applyFont="1" applyBorder="1" applyAlignment="1">
      <alignment horizontal="right"/>
    </xf>
    <xf numFmtId="2" fontId="27" fillId="0" borderId="91" xfId="0" applyNumberFormat="1" applyFont="1" applyBorder="1" applyAlignment="1">
      <alignment horizontal="right"/>
    </xf>
    <xf numFmtId="2" fontId="27" fillId="0" borderId="21" xfId="0" applyNumberFormat="1" applyFont="1" applyBorder="1" applyAlignment="1">
      <alignment horizontal="right"/>
    </xf>
    <xf numFmtId="0" fontId="26" fillId="0" borderId="42" xfId="0" applyFont="1" applyBorder="1" applyAlignment="1"/>
    <xf numFmtId="0" fontId="26" fillId="0" borderId="42" xfId="0" applyFont="1" applyBorder="1" applyAlignment="1">
      <alignment horizontal="right"/>
    </xf>
    <xf numFmtId="0" fontId="8" fillId="0" borderId="45" xfId="0" applyFont="1" applyBorder="1"/>
    <xf numFmtId="0" fontId="27" fillId="0" borderId="99" xfId="0" applyFont="1" applyBorder="1" applyAlignment="1">
      <alignment horizontal="right"/>
    </xf>
    <xf numFmtId="0" fontId="27" fillId="0" borderId="100" xfId="0" applyFont="1" applyBorder="1" applyAlignment="1">
      <alignment horizontal="right"/>
    </xf>
    <xf numFmtId="0" fontId="27" fillId="0" borderId="101" xfId="0" applyFont="1" applyBorder="1" applyAlignment="1">
      <alignment horizontal="right"/>
    </xf>
    <xf numFmtId="0" fontId="27" fillId="15" borderId="102" xfId="0" applyFont="1" applyFill="1" applyBorder="1" applyAlignment="1">
      <alignment horizontal="left"/>
    </xf>
    <xf numFmtId="2" fontId="27" fillId="15" borderId="103" xfId="0" applyNumberFormat="1" applyFont="1" applyFill="1" applyBorder="1" applyAlignment="1">
      <alignment horizontal="right"/>
    </xf>
    <xf numFmtId="0" fontId="29" fillId="0" borderId="73" xfId="0" applyFont="1" applyBorder="1" applyAlignment="1">
      <alignment horizontal="left"/>
    </xf>
    <xf numFmtId="2" fontId="26" fillId="0" borderId="38" xfId="0" applyNumberFormat="1" applyFont="1" applyBorder="1" applyAlignment="1">
      <alignment horizontal="right"/>
    </xf>
    <xf numFmtId="2" fontId="26" fillId="0" borderId="39" xfId="0" applyNumberFormat="1" applyFont="1" applyBorder="1" applyAlignment="1">
      <alignment horizontal="right"/>
    </xf>
    <xf numFmtId="0" fontId="29" fillId="0" borderId="43" xfId="0" applyFont="1" applyBorder="1" applyAlignment="1">
      <alignment horizontal="left"/>
    </xf>
    <xf numFmtId="2" fontId="26" fillId="0" borderId="41" xfId="0" applyNumberFormat="1" applyFont="1" applyBorder="1" applyAlignment="1">
      <alignment horizontal="right"/>
    </xf>
    <xf numFmtId="2" fontId="26" fillId="0" borderId="42" xfId="0" applyNumberFormat="1" applyFont="1" applyBorder="1" applyAlignment="1">
      <alignment horizontal="right"/>
    </xf>
    <xf numFmtId="0" fontId="29" fillId="0" borderId="65" xfId="0" applyFont="1" applyBorder="1" applyAlignment="1">
      <alignment horizontal="left"/>
    </xf>
    <xf numFmtId="2" fontId="26" fillId="0" borderId="54" xfId="0" applyNumberFormat="1" applyFont="1" applyBorder="1" applyAlignment="1">
      <alignment horizontal="right"/>
    </xf>
    <xf numFmtId="2" fontId="26" fillId="0" borderId="46" xfId="0" applyNumberFormat="1" applyFont="1" applyBorder="1" applyAlignment="1">
      <alignment horizontal="right"/>
    </xf>
    <xf numFmtId="2" fontId="27" fillId="15" borderId="104" xfId="0" applyNumberFormat="1" applyFont="1" applyFill="1" applyBorder="1" applyAlignment="1">
      <alignment horizontal="right"/>
    </xf>
    <xf numFmtId="2" fontId="27" fillId="15" borderId="62" xfId="0" applyNumberFormat="1" applyFont="1" applyFill="1" applyBorder="1" applyAlignment="1">
      <alignment horizontal="right"/>
    </xf>
    <xf numFmtId="2" fontId="27" fillId="15" borderId="105" xfId="0" applyNumberFormat="1" applyFont="1" applyFill="1" applyBorder="1" applyAlignment="1">
      <alignment horizontal="right"/>
    </xf>
    <xf numFmtId="0" fontId="29" fillId="0" borderId="40" xfId="0" applyFont="1" applyBorder="1" applyAlignment="1">
      <alignment horizontal="left"/>
    </xf>
    <xf numFmtId="2" fontId="29" fillId="0" borderId="38" xfId="0" applyNumberFormat="1" applyFont="1" applyBorder="1" applyAlignment="1">
      <alignment horizontal="right"/>
    </xf>
    <xf numFmtId="2" fontId="26" fillId="0" borderId="78" xfId="0" applyNumberFormat="1" applyFont="1" applyBorder="1" applyAlignment="1">
      <alignment horizontal="right"/>
    </xf>
    <xf numFmtId="2" fontId="29" fillId="0" borderId="41" xfId="0" applyNumberFormat="1" applyFont="1" applyBorder="1" applyAlignment="1">
      <alignment horizontal="right"/>
    </xf>
    <xf numFmtId="2" fontId="29" fillId="0" borderId="42" xfId="0" applyNumberFormat="1" applyFont="1" applyBorder="1" applyAlignment="1">
      <alignment horizontal="right"/>
    </xf>
    <xf numFmtId="2" fontId="26" fillId="0" borderId="80" xfId="0" applyNumberFormat="1" applyFont="1" applyBorder="1" applyAlignment="1">
      <alignment horizontal="right"/>
    </xf>
    <xf numFmtId="0" fontId="29" fillId="0" borderId="47" xfId="0" applyFont="1" applyBorder="1" applyAlignment="1">
      <alignment horizontal="left"/>
    </xf>
    <xf numFmtId="2" fontId="29" fillId="0" borderId="54" xfId="0" applyNumberFormat="1" applyFont="1" applyBorder="1" applyAlignment="1">
      <alignment horizontal="right"/>
    </xf>
    <xf numFmtId="2" fontId="29" fillId="0" borderId="46" xfId="0" applyNumberFormat="1" applyFont="1" applyBorder="1" applyAlignment="1">
      <alignment horizontal="right"/>
    </xf>
    <xf numFmtId="2" fontId="26" fillId="0" borderId="81" xfId="0" applyNumberFormat="1" applyFont="1" applyBorder="1" applyAlignment="1">
      <alignment horizontal="right"/>
    </xf>
    <xf numFmtId="2" fontId="27" fillId="15" borderId="55" xfId="0" applyNumberFormat="1" applyFont="1" applyFill="1" applyBorder="1" applyAlignment="1">
      <alignment horizontal="right"/>
    </xf>
    <xf numFmtId="2" fontId="27" fillId="15" borderId="56" xfId="0" applyNumberFormat="1" applyFont="1" applyFill="1" applyBorder="1" applyAlignment="1">
      <alignment horizontal="right"/>
    </xf>
    <xf numFmtId="2" fontId="29" fillId="0" borderId="39" xfId="0" applyNumberFormat="1" applyFont="1" applyBorder="1" applyAlignment="1">
      <alignment horizontal="right"/>
    </xf>
    <xf numFmtId="2" fontId="29" fillId="0" borderId="78" xfId="0" applyNumberFormat="1" applyFont="1" applyBorder="1" applyAlignment="1">
      <alignment horizontal="right"/>
    </xf>
    <xf numFmtId="2" fontId="29" fillId="0" borderId="44" xfId="0" applyNumberFormat="1" applyFont="1" applyBorder="1" applyAlignment="1">
      <alignment horizontal="right"/>
    </xf>
    <xf numFmtId="2" fontId="29" fillId="0" borderId="45" xfId="0" applyNumberFormat="1" applyFont="1" applyBorder="1" applyAlignment="1">
      <alignment horizontal="right"/>
    </xf>
    <xf numFmtId="2" fontId="26" fillId="0" borderId="45" xfId="0" applyNumberFormat="1" applyFont="1" applyBorder="1" applyAlignment="1">
      <alignment horizontal="right"/>
    </xf>
    <xf numFmtId="2" fontId="26" fillId="0" borderId="82" xfId="0" applyNumberFormat="1" applyFont="1" applyBorder="1" applyAlignment="1">
      <alignment horizontal="right"/>
    </xf>
    <xf numFmtId="0" fontId="30" fillId="0" borderId="47" xfId="0" applyFont="1" applyBorder="1" applyAlignment="1">
      <alignment horizontal="left"/>
    </xf>
    <xf numFmtId="2" fontId="30" fillId="0" borderId="54" xfId="0" applyNumberFormat="1" applyFont="1" applyBorder="1" applyAlignment="1">
      <alignment horizontal="right"/>
    </xf>
    <xf numFmtId="2" fontId="30" fillId="0" borderId="46" xfId="0" applyNumberFormat="1" applyFont="1" applyBorder="1" applyAlignment="1">
      <alignment horizontal="right"/>
    </xf>
    <xf numFmtId="2" fontId="27" fillId="0" borderId="46" xfId="0" applyNumberFormat="1" applyFont="1" applyBorder="1" applyAlignment="1">
      <alignment horizontal="right"/>
    </xf>
    <xf numFmtId="2" fontId="27" fillId="0" borderId="81" xfId="0" applyNumberFormat="1" applyFont="1" applyBorder="1" applyAlignment="1">
      <alignment horizontal="right"/>
    </xf>
    <xf numFmtId="0" fontId="30" fillId="15" borderId="102" xfId="0" applyFont="1" applyFill="1" applyBorder="1" applyAlignment="1">
      <alignment horizontal="left"/>
    </xf>
    <xf numFmtId="2" fontId="30" fillId="15" borderId="104" xfId="0" applyNumberFormat="1" applyFont="1" applyFill="1" applyBorder="1" applyAlignment="1">
      <alignment horizontal="right"/>
    </xf>
    <xf numFmtId="2" fontId="30" fillId="15" borderId="62" xfId="0" applyNumberFormat="1" applyFont="1" applyFill="1" applyBorder="1" applyAlignment="1">
      <alignment horizontal="right"/>
    </xf>
    <xf numFmtId="0" fontId="26" fillId="0" borderId="68" xfId="0" applyFont="1" applyBorder="1" applyAlignment="1">
      <alignment horizontal="left"/>
    </xf>
    <xf numFmtId="2" fontId="26" fillId="0" borderId="66" xfId="0" applyNumberFormat="1" applyFont="1" applyBorder="1" applyAlignment="1">
      <alignment horizontal="right"/>
    </xf>
    <xf numFmtId="2" fontId="26" fillId="0" borderId="67" xfId="0" applyNumberFormat="1" applyFont="1" applyBorder="1" applyAlignment="1">
      <alignment horizontal="right"/>
    </xf>
    <xf numFmtId="2" fontId="26" fillId="0" borderId="106" xfId="0" applyNumberFormat="1" applyFont="1" applyBorder="1" applyAlignment="1">
      <alignment horizontal="right"/>
    </xf>
    <xf numFmtId="0" fontId="31" fillId="16" borderId="107" xfId="0" applyFont="1" applyFill="1" applyBorder="1" applyAlignment="1">
      <alignment horizontal="left"/>
    </xf>
    <xf numFmtId="2" fontId="31" fillId="16" borderId="69" xfId="0" applyNumberFormat="1" applyFont="1" applyFill="1" applyBorder="1" applyAlignment="1">
      <alignment horizontal="right"/>
    </xf>
    <xf numFmtId="2" fontId="31" fillId="16" borderId="70" xfId="0" applyNumberFormat="1" applyFont="1" applyFill="1" applyBorder="1" applyAlignment="1">
      <alignment horizontal="right"/>
    </xf>
    <xf numFmtId="2" fontId="31" fillId="16" borderId="108" xfId="0" applyNumberFormat="1" applyFont="1" applyFill="1" applyBorder="1" applyAlignment="1">
      <alignment horizontal="right"/>
    </xf>
    <xf numFmtId="0" fontId="26" fillId="0" borderId="78" xfId="0" applyFont="1" applyBorder="1" applyAlignment="1">
      <alignment horizontal="left"/>
    </xf>
    <xf numFmtId="2" fontId="29" fillId="0" borderId="59" xfId="0" applyNumberFormat="1" applyFont="1" applyBorder="1" applyAlignment="1">
      <alignment horizontal="right"/>
    </xf>
    <xf numFmtId="0" fontId="26" fillId="0" borderId="39" xfId="0" applyFont="1" applyBorder="1" applyAlignment="1">
      <alignment horizontal="right"/>
    </xf>
    <xf numFmtId="0" fontId="26" fillId="0" borderId="78" xfId="0" applyFont="1" applyBorder="1" applyAlignment="1">
      <alignment horizontal="right"/>
    </xf>
    <xf numFmtId="0" fontId="26" fillId="0" borderId="80" xfId="0" applyFont="1" applyBorder="1" applyAlignment="1">
      <alignment horizontal="left"/>
    </xf>
    <xf numFmtId="2" fontId="29" fillId="0" borderId="60" xfId="0" applyNumberFormat="1" applyFont="1" applyBorder="1" applyAlignment="1">
      <alignment horizontal="right"/>
    </xf>
    <xf numFmtId="0" fontId="26" fillId="0" borderId="80" xfId="0" applyFont="1" applyBorder="1" applyAlignment="1">
      <alignment horizontal="right"/>
    </xf>
    <xf numFmtId="0" fontId="26" fillId="0" borderId="82" xfId="0" applyFont="1" applyBorder="1" applyAlignment="1">
      <alignment horizontal="left"/>
    </xf>
    <xf numFmtId="0" fontId="26" fillId="0" borderId="64" xfId="0" applyFont="1" applyBorder="1" applyAlignment="1">
      <alignment horizontal="right"/>
    </xf>
    <xf numFmtId="0" fontId="26" fillId="0" borderId="82" xfId="0" applyFont="1" applyBorder="1" applyAlignment="1">
      <alignment horizontal="right"/>
    </xf>
    <xf numFmtId="2" fontId="27" fillId="15" borderId="109" xfId="0" applyNumberFormat="1" applyFont="1" applyFill="1" applyBorder="1"/>
    <xf numFmtId="2" fontId="27" fillId="15" borderId="110" xfId="0" applyNumberFormat="1" applyFont="1" applyFill="1" applyBorder="1"/>
    <xf numFmtId="2" fontId="27" fillId="15" borderId="110" xfId="0" applyNumberFormat="1" applyFont="1" applyFill="1" applyBorder="1" applyAlignment="1"/>
    <xf numFmtId="2" fontId="27" fillId="15" borderId="111" xfId="0" applyNumberFormat="1" applyFont="1" applyFill="1" applyBorder="1" applyAlignment="1"/>
    <xf numFmtId="0" fontId="27" fillId="15" borderId="84" xfId="0" applyFont="1" applyFill="1" applyBorder="1" applyAlignment="1">
      <alignment horizontal="left"/>
    </xf>
    <xf numFmtId="0" fontId="27" fillId="15" borderId="55" xfId="0" applyFont="1" applyFill="1" applyBorder="1" applyAlignment="1">
      <alignment horizontal="right"/>
    </xf>
    <xf numFmtId="0" fontId="27" fillId="15" borderId="56" xfId="0" applyFont="1" applyFill="1" applyBorder="1" applyAlignment="1">
      <alignment horizontal="right"/>
    </xf>
    <xf numFmtId="2" fontId="27" fillId="15" borderId="56" xfId="0" applyNumberFormat="1" applyFont="1" applyFill="1" applyBorder="1"/>
    <xf numFmtId="2" fontId="27" fillId="15" borderId="103" xfId="0" applyNumberFormat="1" applyFont="1" applyFill="1" applyBorder="1"/>
    <xf numFmtId="0" fontId="5" fillId="0" borderId="42" xfId="0" applyFont="1" applyBorder="1"/>
    <xf numFmtId="0" fontId="5" fillId="0" borderId="45" xfId="0" applyFont="1" applyBorder="1"/>
    <xf numFmtId="0" fontId="5" fillId="0" borderId="60" xfId="0" applyFont="1" applyBorder="1"/>
    <xf numFmtId="2" fontId="26" fillId="0" borderId="40" xfId="0" applyNumberFormat="1" applyFont="1" applyBorder="1" applyAlignment="1"/>
    <xf numFmtId="2" fontId="26" fillId="0" borderId="43" xfId="0" applyNumberFormat="1" applyFont="1" applyBorder="1" applyAlignment="1"/>
    <xf numFmtId="0" fontId="5" fillId="0" borderId="64" xfId="0" applyFont="1" applyBorder="1"/>
    <xf numFmtId="0" fontId="5" fillId="0" borderId="65" xfId="0" applyFont="1" applyBorder="1"/>
    <xf numFmtId="2" fontId="26" fillId="0" borderId="112" xfId="0" applyNumberFormat="1" applyFont="1" applyBorder="1" applyAlignment="1"/>
    <xf numFmtId="2" fontId="26" fillId="0" borderId="112" xfId="0" applyNumberFormat="1" applyFont="1" applyBorder="1"/>
    <xf numFmtId="2" fontId="27" fillId="15" borderId="112" xfId="0" applyNumberFormat="1" applyFont="1" applyFill="1" applyBorder="1" applyAlignment="1"/>
    <xf numFmtId="2" fontId="27" fillId="15" borderId="112" xfId="0" applyNumberFormat="1" applyFont="1" applyFill="1" applyBorder="1"/>
    <xf numFmtId="0" fontId="27" fillId="15" borderId="113" xfId="0" applyFont="1" applyFill="1" applyBorder="1" applyAlignment="1"/>
    <xf numFmtId="2" fontId="27" fillId="15" borderId="114" xfId="0" applyNumberFormat="1" applyFont="1" applyFill="1" applyBorder="1"/>
    <xf numFmtId="2" fontId="27" fillId="15" borderId="62" xfId="0" applyNumberFormat="1" applyFont="1" applyFill="1" applyBorder="1"/>
    <xf numFmtId="2" fontId="27" fillId="15" borderId="105" xfId="0" applyNumberFormat="1" applyFont="1" applyFill="1" applyBorder="1"/>
    <xf numFmtId="0" fontId="26" fillId="0" borderId="112" xfId="0" applyFont="1" applyBorder="1"/>
    <xf numFmtId="0" fontId="27" fillId="0" borderId="112" xfId="0" applyFont="1" applyBorder="1" applyAlignment="1"/>
    <xf numFmtId="0" fontId="27" fillId="15" borderId="112" xfId="0" applyFont="1" applyFill="1" applyBorder="1" applyAlignment="1"/>
    <xf numFmtId="2" fontId="25" fillId="0" borderId="50" xfId="0" applyNumberFormat="1" applyFont="1" applyBorder="1" applyAlignment="1"/>
    <xf numFmtId="0" fontId="25" fillId="15" borderId="95" xfId="0" applyFont="1" applyFill="1" applyBorder="1" applyAlignment="1">
      <alignment horizontal="left"/>
    </xf>
    <xf numFmtId="1" fontId="27" fillId="0" borderId="90" xfId="0" applyNumberFormat="1" applyFont="1" applyBorder="1"/>
    <xf numFmtId="1" fontId="27" fillId="0" borderId="91" xfId="0" applyNumberFormat="1" applyFont="1" applyBorder="1"/>
    <xf numFmtId="1" fontId="27" fillId="0" borderId="21" xfId="0" applyNumberFormat="1" applyFont="1" applyBorder="1"/>
    <xf numFmtId="0" fontId="26" fillId="0" borderId="115" xfId="0" quotePrefix="1" applyFont="1" applyBorder="1" applyAlignment="1">
      <alignment horizontal="right"/>
    </xf>
    <xf numFmtId="0" fontId="26" fillId="0" borderId="58" xfId="0" quotePrefix="1" applyFont="1" applyBorder="1" applyAlignment="1">
      <alignment horizontal="right"/>
    </xf>
    <xf numFmtId="2" fontId="26" fillId="0" borderId="58" xfId="0" applyNumberFormat="1" applyFont="1" applyBorder="1"/>
    <xf numFmtId="2" fontId="26" fillId="0" borderId="116" xfId="0" applyNumberFormat="1" applyFont="1" applyBorder="1"/>
    <xf numFmtId="0" fontId="28" fillId="15" borderId="112" xfId="0" applyFont="1" applyFill="1" applyBorder="1"/>
    <xf numFmtId="0" fontId="25" fillId="15" borderId="102" xfId="0" applyFont="1" applyFill="1" applyBorder="1" applyAlignment="1">
      <alignment horizontal="left"/>
    </xf>
    <xf numFmtId="0" fontId="24" fillId="0" borderId="65" xfId="0" applyFont="1" applyBorder="1" applyAlignment="1">
      <alignment horizontal="center"/>
    </xf>
    <xf numFmtId="0" fontId="32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0" borderId="3" xfId="0" applyFont="1" applyBorder="1"/>
    <xf numFmtId="0" fontId="1" fillId="2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1" fillId="2" borderId="4" xfId="0" applyFont="1" applyFill="1" applyBorder="1" applyAlignment="1">
      <alignment horizontal="center" wrapText="1"/>
    </xf>
    <xf numFmtId="0" fontId="24" fillId="5" borderId="2" xfId="0" applyFont="1" applyFill="1" applyBorder="1" applyAlignment="1">
      <alignment horizontal="center"/>
    </xf>
    <xf numFmtId="0" fontId="2" fillId="0" borderId="10" xfId="0" applyFont="1" applyBorder="1"/>
    <xf numFmtId="0" fontId="24" fillId="5" borderId="16" xfId="0" applyFont="1" applyFill="1" applyBorder="1" applyAlignment="1">
      <alignment horizontal="center" vertical="center" textRotation="90"/>
    </xf>
    <xf numFmtId="0" fontId="2" fillId="0" borderId="79" xfId="0" applyFont="1" applyBorder="1"/>
    <xf numFmtId="0" fontId="2" fillId="0" borderId="77" xfId="0" applyFont="1" applyBorder="1"/>
    <xf numFmtId="164" fontId="26" fillId="0" borderId="38" xfId="0" applyNumberFormat="1" applyFont="1" applyBorder="1"/>
    <xf numFmtId="164" fontId="26" fillId="0" borderId="39" xfId="0" applyNumberFormat="1" applyFont="1" applyBorder="1"/>
    <xf numFmtId="164" fontId="26" fillId="0" borderId="78" xfId="0" applyNumberFormat="1" applyFont="1" applyBorder="1"/>
    <xf numFmtId="164" fontId="26" fillId="0" borderId="41" xfId="0" applyNumberFormat="1" applyFont="1" applyBorder="1"/>
    <xf numFmtId="164" fontId="26" fillId="0" borderId="42" xfId="0" applyNumberFormat="1" applyFont="1" applyBorder="1"/>
    <xf numFmtId="164" fontId="26" fillId="0" borderId="80" xfId="0" applyNumberFormat="1" applyFont="1" applyBorder="1"/>
    <xf numFmtId="164" fontId="26" fillId="0" borderId="44" xfId="0" applyNumberFormat="1" applyFont="1" applyBorder="1"/>
    <xf numFmtId="164" fontId="26" fillId="0" borderId="45" xfId="0" applyNumberFormat="1" applyFont="1" applyBorder="1"/>
    <xf numFmtId="164" fontId="26" fillId="0" borderId="8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DF3C2-C54E-42F0-8C1E-18C9BD8DE0CA}">
  <dimension ref="A1:F6"/>
  <sheetViews>
    <sheetView workbookViewId="0">
      <selection activeCell="A9" sqref="A9"/>
    </sheetView>
  </sheetViews>
  <sheetFormatPr baseColWidth="10" defaultRowHeight="14"/>
  <cols>
    <col min="1" max="1" width="28.4140625" customWidth="1"/>
    <col min="2" max="6" width="17.08203125" customWidth="1"/>
  </cols>
  <sheetData>
    <row r="1" spans="1:6" ht="14.5">
      <c r="A1" s="460"/>
      <c r="B1" s="460"/>
      <c r="C1" s="460"/>
      <c r="D1" s="460"/>
      <c r="E1" s="460"/>
      <c r="F1" s="460"/>
    </row>
    <row r="2" spans="1:6" ht="14.5">
      <c r="A2" s="474"/>
      <c r="B2" s="475">
        <v>2022</v>
      </c>
      <c r="C2" s="475">
        <v>2023</v>
      </c>
      <c r="D2" s="475">
        <v>2024</v>
      </c>
      <c r="E2" s="475">
        <v>2025</v>
      </c>
      <c r="F2" s="475">
        <v>2026</v>
      </c>
    </row>
    <row r="3" spans="1:6" ht="14.5">
      <c r="A3" s="475" t="s">
        <v>161</v>
      </c>
      <c r="B3" s="467">
        <v>122537.34005638197</v>
      </c>
      <c r="C3" s="467">
        <v>137724.51706792199</v>
      </c>
      <c r="D3" s="467">
        <v>144980.64323657102</v>
      </c>
      <c r="E3" s="467">
        <v>154145.30578392337</v>
      </c>
      <c r="F3" s="467">
        <v>172238.78094694199</v>
      </c>
    </row>
    <row r="4" spans="1:6" ht="14.5">
      <c r="A4" s="475" t="s">
        <v>128</v>
      </c>
      <c r="B4" s="467">
        <v>0.94709735780105053</v>
      </c>
      <c r="C4" s="467">
        <v>0.89699340515373127</v>
      </c>
      <c r="D4" s="467">
        <v>0.84954008398606595</v>
      </c>
      <c r="E4" s="467">
        <v>0.80459716888928579</v>
      </c>
      <c r="F4" s="467">
        <v>0.76203185274924801</v>
      </c>
    </row>
    <row r="5" spans="1:6" ht="14.5">
      <c r="A5" s="476" t="s">
        <v>162</v>
      </c>
      <c r="B5" s="469">
        <v>116054.7909993682</v>
      </c>
      <c r="C5" s="469">
        <v>123537.98353790853</v>
      </c>
      <c r="D5" s="469">
        <v>123166.86783155041</v>
      </c>
      <c r="E5" s="469">
        <v>124024.87663131799</v>
      </c>
      <c r="F5" s="469">
        <v>131251.43736027001</v>
      </c>
    </row>
    <row r="6" spans="1:6" ht="14.5">
      <c r="A6" s="470" t="s">
        <v>130</v>
      </c>
      <c r="B6" s="471"/>
      <c r="C6" s="472"/>
      <c r="D6" s="472"/>
      <c r="E6" s="472"/>
      <c r="F6" s="473">
        <v>4899470.7564821905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3D88C-F711-4901-88EE-7A807C138214}">
  <dimension ref="A1:I10"/>
  <sheetViews>
    <sheetView workbookViewId="0"/>
  </sheetViews>
  <sheetFormatPr baseColWidth="10" defaultRowHeight="14"/>
  <cols>
    <col min="1" max="1" width="31.9140625" customWidth="1"/>
  </cols>
  <sheetData>
    <row r="1" spans="1:9" ht="14.5">
      <c r="A1" s="489" t="s">
        <v>164</v>
      </c>
      <c r="B1" s="353">
        <v>2019</v>
      </c>
      <c r="C1" s="353">
        <v>2020</v>
      </c>
      <c r="D1" s="353" t="s">
        <v>146</v>
      </c>
      <c r="E1" s="353" t="s">
        <v>147</v>
      </c>
      <c r="F1" s="353" t="s">
        <v>148</v>
      </c>
      <c r="G1" s="353" t="s">
        <v>149</v>
      </c>
      <c r="H1" s="353" t="s">
        <v>150</v>
      </c>
      <c r="I1" s="354" t="s">
        <v>151</v>
      </c>
    </row>
    <row r="2" spans="1:9" ht="14.5">
      <c r="A2" s="462" t="s">
        <v>159</v>
      </c>
      <c r="B2" s="395">
        <v>0</v>
      </c>
      <c r="C2" s="396">
        <v>0</v>
      </c>
      <c r="D2" s="396">
        <v>50000</v>
      </c>
      <c r="E2" s="396">
        <v>50000</v>
      </c>
      <c r="F2" s="396">
        <v>50000</v>
      </c>
      <c r="G2" s="396">
        <v>50000</v>
      </c>
      <c r="H2" s="396">
        <v>50000</v>
      </c>
      <c r="I2" s="408">
        <v>50000</v>
      </c>
    </row>
    <row r="3" spans="1:9" ht="14.5">
      <c r="A3" s="463" t="s">
        <v>49</v>
      </c>
      <c r="B3" s="398">
        <v>0</v>
      </c>
      <c r="C3" s="399">
        <v>0</v>
      </c>
      <c r="D3" s="399">
        <v>0</v>
      </c>
      <c r="E3" s="399">
        <v>1380</v>
      </c>
      <c r="F3" s="399">
        <v>1656</v>
      </c>
      <c r="G3" s="399">
        <v>1987.1999999999998</v>
      </c>
      <c r="H3" s="399">
        <v>2503.8719999999998</v>
      </c>
      <c r="I3" s="411">
        <v>3004.6463999999996</v>
      </c>
    </row>
    <row r="4" spans="1:9" ht="14.5">
      <c r="A4" s="463" t="s">
        <v>98</v>
      </c>
      <c r="B4" s="398">
        <v>0</v>
      </c>
      <c r="C4" s="399">
        <v>0</v>
      </c>
      <c r="D4" s="399">
        <v>5000</v>
      </c>
      <c r="E4" s="399">
        <v>10000</v>
      </c>
      <c r="F4" s="399">
        <v>15000</v>
      </c>
      <c r="G4" s="399">
        <v>20000</v>
      </c>
      <c r="H4" s="399">
        <v>30000</v>
      </c>
      <c r="I4" s="411">
        <v>40800</v>
      </c>
    </row>
    <row r="5" spans="1:9" ht="14.5">
      <c r="A5" s="463" t="s">
        <v>99</v>
      </c>
      <c r="B5" s="398">
        <v>2807</v>
      </c>
      <c r="C5" s="399">
        <v>2103</v>
      </c>
      <c r="D5" s="399">
        <v>2145.06</v>
      </c>
      <c r="E5" s="399">
        <v>2145.06</v>
      </c>
      <c r="F5" s="399">
        <v>2145.06</v>
      </c>
      <c r="G5" s="399">
        <v>2145.06</v>
      </c>
      <c r="H5" s="399">
        <v>2145.06</v>
      </c>
      <c r="I5" s="411">
        <v>2145.06</v>
      </c>
    </row>
    <row r="6" spans="1:9" ht="14.5">
      <c r="A6" s="463" t="s">
        <v>52</v>
      </c>
      <c r="B6" s="398">
        <v>17979</v>
      </c>
      <c r="C6" s="399">
        <v>6216</v>
      </c>
      <c r="D6" s="399">
        <v>19776.900000000001</v>
      </c>
      <c r="E6" s="399">
        <v>21754.590000000004</v>
      </c>
      <c r="F6" s="399">
        <v>23930.049000000006</v>
      </c>
      <c r="G6" s="399">
        <v>26323.05390000001</v>
      </c>
      <c r="H6" s="399">
        <v>28955.359290000015</v>
      </c>
      <c r="I6" s="411">
        <v>31850.89521900002</v>
      </c>
    </row>
    <row r="7" spans="1:9" ht="15" thickBot="1">
      <c r="A7" s="381" t="s">
        <v>53</v>
      </c>
      <c r="B7" s="382">
        <v>149</v>
      </c>
      <c r="C7" s="422">
        <v>149</v>
      </c>
      <c r="D7" s="422">
        <v>149</v>
      </c>
      <c r="E7" s="422">
        <v>149</v>
      </c>
      <c r="F7" s="422">
        <v>149</v>
      </c>
      <c r="G7" s="422">
        <v>149</v>
      </c>
      <c r="H7" s="422">
        <v>149</v>
      </c>
      <c r="I7" s="423">
        <v>149</v>
      </c>
    </row>
    <row r="8" spans="1:9" ht="15" thickBot="1">
      <c r="A8" s="477" t="s">
        <v>160</v>
      </c>
      <c r="B8" s="383">
        <v>287570</v>
      </c>
      <c r="C8" s="384">
        <v>271077</v>
      </c>
      <c r="D8" s="384">
        <v>344933.16000000003</v>
      </c>
      <c r="E8" s="384">
        <v>353749.75819999998</v>
      </c>
      <c r="F8" s="384">
        <v>374657.31219999999</v>
      </c>
      <c r="G8" s="384">
        <v>382381.5171</v>
      </c>
      <c r="H8" s="384">
        <v>396003.16993599996</v>
      </c>
      <c r="I8" s="385">
        <v>424411.16321500001</v>
      </c>
    </row>
    <row r="10" spans="1:9" ht="13.5" customHeight="1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E5429-DB5C-42E4-8F05-D47F31D2257B}">
  <dimension ref="A1:I21"/>
  <sheetViews>
    <sheetView zoomScale="70" zoomScaleNormal="70" workbookViewId="0">
      <selection activeCell="A2" sqref="A2"/>
    </sheetView>
  </sheetViews>
  <sheetFormatPr baseColWidth="10" defaultRowHeight="14"/>
  <cols>
    <col min="1" max="1" width="46.25" customWidth="1"/>
    <col min="8" max="8" width="13.83203125" customWidth="1"/>
    <col min="9" max="9" width="12.75" customWidth="1"/>
  </cols>
  <sheetData>
    <row r="1" spans="1:9" ht="14.5">
      <c r="A1" s="488" t="s">
        <v>164</v>
      </c>
      <c r="B1" s="389">
        <v>2019</v>
      </c>
      <c r="C1" s="390">
        <v>2020</v>
      </c>
      <c r="D1" s="390" t="s">
        <v>146</v>
      </c>
      <c r="E1" s="390" t="s">
        <v>147</v>
      </c>
      <c r="F1" s="390" t="s">
        <v>148</v>
      </c>
      <c r="G1" s="390" t="s">
        <v>149</v>
      </c>
      <c r="H1" s="390" t="s">
        <v>150</v>
      </c>
      <c r="I1" s="391" t="s">
        <v>151</v>
      </c>
    </row>
    <row r="2" spans="1:9" ht="14.5">
      <c r="A2" s="487" t="s">
        <v>101</v>
      </c>
      <c r="B2" s="416">
        <v>287570</v>
      </c>
      <c r="C2" s="417">
        <v>271077</v>
      </c>
      <c r="D2" s="417">
        <v>344933.16000000003</v>
      </c>
      <c r="E2" s="417">
        <v>353749.75819999998</v>
      </c>
      <c r="F2" s="417">
        <v>374657.31219999999</v>
      </c>
      <c r="G2" s="417">
        <v>382381.5171</v>
      </c>
      <c r="H2" s="417">
        <v>396003.16993599996</v>
      </c>
      <c r="I2" s="393">
        <v>424411.16321500001</v>
      </c>
    </row>
    <row r="3" spans="1:9" ht="14.5">
      <c r="A3" s="394" t="s">
        <v>102</v>
      </c>
      <c r="B3" s="395">
        <v>-31861</v>
      </c>
      <c r="C3" s="396">
        <v>-39894</v>
      </c>
      <c r="D3" s="396">
        <v>-65537.300400000007</v>
      </c>
      <c r="E3" s="396">
        <v>-67212.454058000003</v>
      </c>
      <c r="F3" s="396">
        <v>-71184.889318000001</v>
      </c>
      <c r="G3" s="396">
        <v>-72652.488249000002</v>
      </c>
      <c r="H3" s="396">
        <v>-75240.602287839996</v>
      </c>
      <c r="I3" s="408">
        <v>-80638.121010850009</v>
      </c>
    </row>
    <row r="4" spans="1:9" ht="14.5">
      <c r="A4" s="397" t="s">
        <v>103</v>
      </c>
      <c r="B4" s="398">
        <v>-17646</v>
      </c>
      <c r="C4" s="399">
        <v>-19218</v>
      </c>
      <c r="D4" s="399">
        <v>-20695.989600000001</v>
      </c>
      <c r="E4" s="399">
        <v>-21224.985492</v>
      </c>
      <c r="F4" s="399">
        <v>-22479.438731999999</v>
      </c>
      <c r="G4" s="399">
        <v>-22942.891025999998</v>
      </c>
      <c r="H4" s="399">
        <v>-23760.190196159998</v>
      </c>
      <c r="I4" s="411">
        <v>-25464.6697929</v>
      </c>
    </row>
    <row r="5" spans="1:9" ht="14.5">
      <c r="A5" s="397" t="s">
        <v>104</v>
      </c>
      <c r="B5" s="398">
        <v>-1957</v>
      </c>
      <c r="C5" s="399">
        <v>-2750</v>
      </c>
      <c r="D5" s="399">
        <v>-6898.6632000000009</v>
      </c>
      <c r="E5" s="399">
        <v>-7074.9951639999999</v>
      </c>
      <c r="F5" s="399">
        <v>-7493.1462439999996</v>
      </c>
      <c r="G5" s="399">
        <v>-7647.6303420000004</v>
      </c>
      <c r="H5" s="399">
        <v>-7920.063398719999</v>
      </c>
      <c r="I5" s="411">
        <v>-8488.2232643000007</v>
      </c>
    </row>
    <row r="6" spans="1:9" ht="14.5">
      <c r="A6" s="400" t="s">
        <v>105</v>
      </c>
      <c r="B6" s="401">
        <v>278</v>
      </c>
      <c r="C6" s="402">
        <v>4611</v>
      </c>
      <c r="D6" s="402">
        <v>3449.3316000000004</v>
      </c>
      <c r="E6" s="402">
        <v>3537.497582</v>
      </c>
      <c r="F6" s="402">
        <v>3746.5731219999998</v>
      </c>
      <c r="G6" s="402">
        <v>3823.8151710000002</v>
      </c>
      <c r="H6" s="402">
        <v>3960.0316993599995</v>
      </c>
      <c r="I6" s="415">
        <v>4244.1116321500003</v>
      </c>
    </row>
    <row r="7" spans="1:9" ht="14.5">
      <c r="A7" s="392" t="s">
        <v>106</v>
      </c>
      <c r="B7" s="416">
        <v>-51186</v>
      </c>
      <c r="C7" s="417">
        <v>-57251</v>
      </c>
      <c r="D7" s="417">
        <v>-89682.621599999999</v>
      </c>
      <c r="E7" s="417">
        <v>-91974.937132000006</v>
      </c>
      <c r="F7" s="417">
        <v>-97410.901171999998</v>
      </c>
      <c r="G7" s="417">
        <v>-99419.194446000009</v>
      </c>
      <c r="H7" s="417">
        <v>-102960.82418335999</v>
      </c>
      <c r="I7" s="393">
        <v>-110346.90243590002</v>
      </c>
    </row>
    <row r="8" spans="1:9" ht="14.5">
      <c r="A8" s="392" t="s">
        <v>107</v>
      </c>
      <c r="B8" s="403">
        <v>236384</v>
      </c>
      <c r="C8" s="404">
        <v>213826</v>
      </c>
      <c r="D8" s="404">
        <v>255250.53840000002</v>
      </c>
      <c r="E8" s="404">
        <v>261774.82106799999</v>
      </c>
      <c r="F8" s="404">
        <v>277246.411028</v>
      </c>
      <c r="G8" s="404">
        <v>282962.32265400002</v>
      </c>
      <c r="H8" s="404">
        <v>293042.34575263999</v>
      </c>
      <c r="I8" s="405">
        <v>314064.2607791</v>
      </c>
    </row>
    <row r="9" spans="1:9" ht="14.5">
      <c r="A9" s="406" t="s">
        <v>108</v>
      </c>
      <c r="B9" s="407">
        <v>-4413</v>
      </c>
      <c r="C9" s="418">
        <v>-4658</v>
      </c>
      <c r="D9" s="396">
        <v>0</v>
      </c>
      <c r="E9" s="396">
        <v>0</v>
      </c>
      <c r="F9" s="396">
        <v>0</v>
      </c>
      <c r="G9" s="396">
        <v>0</v>
      </c>
      <c r="H9" s="396">
        <v>0</v>
      </c>
      <c r="I9" s="408">
        <v>0</v>
      </c>
    </row>
    <row r="10" spans="1:9" ht="14.5">
      <c r="A10" s="397" t="s">
        <v>109</v>
      </c>
      <c r="B10" s="409">
        <v>9101</v>
      </c>
      <c r="C10" s="410">
        <v>-8845</v>
      </c>
      <c r="D10" s="399">
        <v>0</v>
      </c>
      <c r="E10" s="399">
        <v>0</v>
      </c>
      <c r="F10" s="399">
        <v>0</v>
      </c>
      <c r="G10" s="399">
        <v>0</v>
      </c>
      <c r="H10" s="399">
        <v>0</v>
      </c>
      <c r="I10" s="411">
        <v>0</v>
      </c>
    </row>
    <row r="11" spans="1:9" ht="14.5">
      <c r="A11" s="397" t="s">
        <v>110</v>
      </c>
      <c r="B11" s="409">
        <v>-11896</v>
      </c>
      <c r="C11" s="410">
        <v>-11824</v>
      </c>
      <c r="D11" s="399">
        <v>0</v>
      </c>
      <c r="E11" s="399">
        <v>0</v>
      </c>
      <c r="F11" s="399">
        <v>0</v>
      </c>
      <c r="G11" s="399">
        <v>0</v>
      </c>
      <c r="H11" s="399">
        <v>0</v>
      </c>
      <c r="I11" s="411">
        <v>0</v>
      </c>
    </row>
    <row r="12" spans="1:9" ht="14.5">
      <c r="A12" s="397" t="s">
        <v>111</v>
      </c>
      <c r="B12" s="409">
        <v>99446</v>
      </c>
      <c r="C12" s="410">
        <v>-56028</v>
      </c>
      <c r="D12" s="399">
        <v>0</v>
      </c>
      <c r="E12" s="399">
        <v>0</v>
      </c>
      <c r="F12" s="399">
        <v>0</v>
      </c>
      <c r="G12" s="399">
        <v>0</v>
      </c>
      <c r="H12" s="399">
        <v>0</v>
      </c>
      <c r="I12" s="411">
        <v>0</v>
      </c>
    </row>
    <row r="13" spans="1:9" ht="14.5">
      <c r="A13" s="412" t="s">
        <v>112</v>
      </c>
      <c r="B13" s="413">
        <v>0</v>
      </c>
      <c r="C13" s="414">
        <v>24</v>
      </c>
      <c r="D13" s="402">
        <v>0</v>
      </c>
      <c r="E13" s="402">
        <v>0</v>
      </c>
      <c r="F13" s="402">
        <v>0</v>
      </c>
      <c r="G13" s="402">
        <v>0</v>
      </c>
      <c r="H13" s="402">
        <v>0</v>
      </c>
      <c r="I13" s="415">
        <v>0</v>
      </c>
    </row>
    <row r="14" spans="1:9" ht="14.5">
      <c r="A14" s="392" t="s">
        <v>113</v>
      </c>
      <c r="B14" s="416">
        <v>328621</v>
      </c>
      <c r="C14" s="417">
        <v>132494</v>
      </c>
      <c r="D14" s="417">
        <v>255250.53840000002</v>
      </c>
      <c r="E14" s="417">
        <v>261774.82106799999</v>
      </c>
      <c r="F14" s="417">
        <v>277246.411028</v>
      </c>
      <c r="G14" s="417">
        <v>282962.32265400002</v>
      </c>
      <c r="H14" s="417">
        <v>293042.34575263999</v>
      </c>
      <c r="I14" s="393">
        <v>314064.2607791</v>
      </c>
    </row>
    <row r="15" spans="1:9" ht="14.5">
      <c r="A15" s="406" t="s">
        <v>114</v>
      </c>
      <c r="B15" s="407">
        <v>-85978</v>
      </c>
      <c r="C15" s="418">
        <v>-91805</v>
      </c>
      <c r="D15" s="418">
        <v>-52845</v>
      </c>
      <c r="E15" s="418">
        <v>-52845</v>
      </c>
      <c r="F15" s="418">
        <v>-42422</v>
      </c>
      <c r="G15" s="418">
        <v>-35766</v>
      </c>
      <c r="H15" s="418">
        <v>-30220</v>
      </c>
      <c r="I15" s="419">
        <v>-20392</v>
      </c>
    </row>
    <row r="16" spans="1:9" ht="14.5">
      <c r="A16" s="397" t="s">
        <v>115</v>
      </c>
      <c r="B16" s="409">
        <v>7764</v>
      </c>
      <c r="C16" s="410">
        <v>5886</v>
      </c>
      <c r="D16" s="399">
        <v>0</v>
      </c>
      <c r="E16" s="399">
        <v>0</v>
      </c>
      <c r="F16" s="399">
        <v>0</v>
      </c>
      <c r="G16" s="399">
        <v>0</v>
      </c>
      <c r="H16" s="399">
        <v>0</v>
      </c>
      <c r="I16" s="411">
        <v>0</v>
      </c>
    </row>
    <row r="17" spans="1:9" ht="14.5">
      <c r="A17" s="400" t="s">
        <v>116</v>
      </c>
      <c r="B17" s="420">
        <v>26678</v>
      </c>
      <c r="C17" s="421">
        <v>21057</v>
      </c>
      <c r="D17" s="422">
        <v>0</v>
      </c>
      <c r="E17" s="422">
        <v>0</v>
      </c>
      <c r="F17" s="422">
        <v>0</v>
      </c>
      <c r="G17" s="422">
        <v>0</v>
      </c>
      <c r="H17" s="422">
        <v>0</v>
      </c>
      <c r="I17" s="423">
        <v>0</v>
      </c>
    </row>
    <row r="18" spans="1:9" ht="14.5">
      <c r="A18" s="424" t="s">
        <v>117</v>
      </c>
      <c r="B18" s="425">
        <v>-51535</v>
      </c>
      <c r="C18" s="426">
        <v>-64844</v>
      </c>
      <c r="D18" s="427">
        <v>-52845</v>
      </c>
      <c r="E18" s="427">
        <v>-52845</v>
      </c>
      <c r="F18" s="427">
        <v>-42422</v>
      </c>
      <c r="G18" s="427">
        <v>-35766</v>
      </c>
      <c r="H18" s="427">
        <v>-30220</v>
      </c>
      <c r="I18" s="428">
        <v>-20392</v>
      </c>
    </row>
    <row r="19" spans="1:9" ht="14.5">
      <c r="A19" s="429" t="s">
        <v>118</v>
      </c>
      <c r="B19" s="430">
        <v>277086</v>
      </c>
      <c r="C19" s="431">
        <v>67651</v>
      </c>
      <c r="D19" s="404">
        <v>202405.53840000002</v>
      </c>
      <c r="E19" s="404">
        <v>208929.82106799999</v>
      </c>
      <c r="F19" s="404">
        <v>234824.411028</v>
      </c>
      <c r="G19" s="404">
        <v>247196.32265400002</v>
      </c>
      <c r="H19" s="404">
        <v>262822.34575263999</v>
      </c>
      <c r="I19" s="405">
        <v>293672.2607791</v>
      </c>
    </row>
    <row r="20" spans="1:9" ht="14.5">
      <c r="A20" s="432" t="s">
        <v>119</v>
      </c>
      <c r="B20" s="433">
        <v>-63396</v>
      </c>
      <c r="C20" s="434">
        <v>-50054</v>
      </c>
      <c r="D20" s="434">
        <v>-62745.716904000008</v>
      </c>
      <c r="E20" s="434">
        <v>-64768.244531079996</v>
      </c>
      <c r="F20" s="434">
        <v>-72795.567418680002</v>
      </c>
      <c r="G20" s="434">
        <v>-76630.860022740002</v>
      </c>
      <c r="H20" s="434">
        <v>-81474.927183318388</v>
      </c>
      <c r="I20" s="435">
        <v>-91038.400841520997</v>
      </c>
    </row>
    <row r="21" spans="1:9" ht="14.5">
      <c r="A21" s="436" t="s">
        <v>120</v>
      </c>
      <c r="B21" s="437">
        <v>213690</v>
      </c>
      <c r="C21" s="438">
        <v>17597</v>
      </c>
      <c r="D21" s="438">
        <v>139659.82149600002</v>
      </c>
      <c r="E21" s="438">
        <v>144161.57653691998</v>
      </c>
      <c r="F21" s="438">
        <v>162028.84360932</v>
      </c>
      <c r="G21" s="438">
        <v>170565.46263126002</v>
      </c>
      <c r="H21" s="438">
        <v>181347.4185693216</v>
      </c>
      <c r="I21" s="439">
        <v>202633.85993757902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4F84C-5769-4F2E-BBCC-228832226345}">
  <dimension ref="A1:I8"/>
  <sheetViews>
    <sheetView workbookViewId="0"/>
  </sheetViews>
  <sheetFormatPr baseColWidth="10" defaultRowHeight="14"/>
  <cols>
    <col min="1" max="1" width="27.5" customWidth="1"/>
  </cols>
  <sheetData>
    <row r="1" spans="1:9" ht="14.5">
      <c r="A1" s="489" t="s">
        <v>164</v>
      </c>
      <c r="B1" s="389">
        <v>2019</v>
      </c>
      <c r="C1" s="390">
        <v>2020</v>
      </c>
      <c r="D1" s="390" t="s">
        <v>146</v>
      </c>
      <c r="E1" s="390" t="s">
        <v>147</v>
      </c>
      <c r="F1" s="390" t="s">
        <v>148</v>
      </c>
      <c r="G1" s="390" t="s">
        <v>149</v>
      </c>
      <c r="H1" s="390" t="s">
        <v>150</v>
      </c>
      <c r="I1" s="391" t="s">
        <v>151</v>
      </c>
    </row>
    <row r="2" spans="1:9" ht="14.5">
      <c r="A2" s="440" t="s">
        <v>121</v>
      </c>
      <c r="B2" s="441">
        <v>4413</v>
      </c>
      <c r="C2" s="418">
        <v>4658</v>
      </c>
      <c r="D2" s="442">
        <v>0</v>
      </c>
      <c r="E2" s="442">
        <v>0</v>
      </c>
      <c r="F2" s="442">
        <v>0</v>
      </c>
      <c r="G2" s="442">
        <v>0</v>
      </c>
      <c r="H2" s="442">
        <v>0</v>
      </c>
      <c r="I2" s="443">
        <v>0</v>
      </c>
    </row>
    <row r="3" spans="1:9" ht="14.5">
      <c r="A3" s="444" t="s">
        <v>122</v>
      </c>
      <c r="B3" s="445">
        <v>-9101</v>
      </c>
      <c r="C3" s="410">
        <v>8845</v>
      </c>
      <c r="D3" s="387">
        <v>0</v>
      </c>
      <c r="E3" s="387">
        <v>0</v>
      </c>
      <c r="F3" s="387">
        <v>0</v>
      </c>
      <c r="G3" s="387">
        <v>0</v>
      </c>
      <c r="H3" s="387">
        <v>0</v>
      </c>
      <c r="I3" s="446">
        <v>0</v>
      </c>
    </row>
    <row r="4" spans="1:9" ht="14.5">
      <c r="A4" s="444" t="s">
        <v>123</v>
      </c>
      <c r="B4" s="445">
        <v>-99446</v>
      </c>
      <c r="C4" s="410">
        <v>56028</v>
      </c>
      <c r="D4" s="387">
        <v>0</v>
      </c>
      <c r="E4" s="387">
        <v>0</v>
      </c>
      <c r="F4" s="387">
        <v>0</v>
      </c>
      <c r="G4" s="387">
        <v>0</v>
      </c>
      <c r="H4" s="387">
        <v>0</v>
      </c>
      <c r="I4" s="446">
        <v>0</v>
      </c>
    </row>
    <row r="5" spans="1:9" ht="14.5">
      <c r="A5" s="444" t="s">
        <v>124</v>
      </c>
      <c r="B5" s="445">
        <v>11896</v>
      </c>
      <c r="C5" s="410">
        <v>11824</v>
      </c>
      <c r="D5" s="387">
        <v>0</v>
      </c>
      <c r="E5" s="387">
        <v>0</v>
      </c>
      <c r="F5" s="387">
        <v>0</v>
      </c>
      <c r="G5" s="387">
        <v>0</v>
      </c>
      <c r="H5" s="387">
        <v>0</v>
      </c>
      <c r="I5" s="446">
        <v>0</v>
      </c>
    </row>
    <row r="6" spans="1:9" ht="14.5">
      <c r="A6" s="447" t="s">
        <v>125</v>
      </c>
      <c r="B6" s="448">
        <v>34864</v>
      </c>
      <c r="C6" s="372">
        <v>32831</v>
      </c>
      <c r="D6" s="372">
        <v>0</v>
      </c>
      <c r="E6" s="372">
        <v>0</v>
      </c>
      <c r="F6" s="372">
        <v>0</v>
      </c>
      <c r="G6" s="372">
        <v>0</v>
      </c>
      <c r="H6" s="372">
        <v>0</v>
      </c>
      <c r="I6" s="449">
        <v>0</v>
      </c>
    </row>
    <row r="7" spans="1:9" ht="14.5">
      <c r="A7" s="478" t="s">
        <v>83</v>
      </c>
      <c r="B7" s="450">
        <v>156316</v>
      </c>
      <c r="C7" s="451">
        <v>131783</v>
      </c>
      <c r="D7" s="452">
        <v>139659.82149599999</v>
      </c>
      <c r="E7" s="452">
        <v>144161.57653691998</v>
      </c>
      <c r="F7" s="452">
        <v>162028.84360932</v>
      </c>
      <c r="G7" s="452">
        <v>170565.46263126002</v>
      </c>
      <c r="H7" s="452">
        <v>181347.4185693216</v>
      </c>
      <c r="I7" s="453">
        <v>202633.85993757902</v>
      </c>
    </row>
    <row r="8" spans="1:9" ht="14.5">
      <c r="A8" s="454" t="s">
        <v>126</v>
      </c>
      <c r="B8" s="455">
        <v>124383</v>
      </c>
      <c r="C8" s="456">
        <v>151639</v>
      </c>
      <c r="D8" s="457">
        <v>118710.84827160001</v>
      </c>
      <c r="E8" s="457">
        <v>122537.34005638197</v>
      </c>
      <c r="F8" s="457">
        <v>137724.51706792199</v>
      </c>
      <c r="G8" s="457">
        <v>144980.64323657102</v>
      </c>
      <c r="H8" s="457">
        <v>154145.30578392337</v>
      </c>
      <c r="I8" s="458">
        <v>172238.78094694216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1D0AB-692C-49E7-9770-99AB5FF9BECD}">
  <dimension ref="A3:B8"/>
  <sheetViews>
    <sheetView workbookViewId="0">
      <selection activeCell="G12" sqref="G12"/>
    </sheetView>
  </sheetViews>
  <sheetFormatPr baseColWidth="10" defaultRowHeight="14"/>
  <cols>
    <col min="1" max="1" width="36.5" customWidth="1"/>
    <col min="2" max="2" width="14.08203125" customWidth="1"/>
  </cols>
  <sheetData>
    <row r="3" spans="1:2" ht="14.5">
      <c r="A3" s="466" t="s">
        <v>163</v>
      </c>
      <c r="B3" s="467">
        <v>618035.95636041532</v>
      </c>
    </row>
    <row r="4" spans="1:2" ht="14.5">
      <c r="A4" s="466" t="s">
        <v>132</v>
      </c>
      <c r="B4" s="467">
        <v>3733552.77805288</v>
      </c>
    </row>
    <row r="5" spans="1:2" ht="14.5">
      <c r="A5" s="466" t="s">
        <v>133</v>
      </c>
      <c r="B5" s="466">
        <v>596029</v>
      </c>
    </row>
    <row r="6" spans="1:2" ht="14.5">
      <c r="A6" s="466" t="s">
        <v>134</v>
      </c>
      <c r="B6" s="467">
        <v>4947617.7344132951</v>
      </c>
    </row>
    <row r="7" spans="1:2" ht="14.5">
      <c r="A7" s="466" t="s">
        <v>135</v>
      </c>
      <c r="B7" s="467">
        <v>10645783</v>
      </c>
    </row>
    <row r="8" spans="1:2" ht="14.5">
      <c r="A8" s="468" t="s">
        <v>136</v>
      </c>
      <c r="B8" s="469">
        <v>464.74906866064197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75"/>
  <sheetViews>
    <sheetView zoomScale="40" zoomScaleNormal="40" workbookViewId="0">
      <selection activeCell="G69" sqref="G69"/>
    </sheetView>
  </sheetViews>
  <sheetFormatPr baseColWidth="10" defaultColWidth="12.6640625" defaultRowHeight="15" customHeight="1"/>
  <cols>
    <col min="1" max="1" width="39.25" customWidth="1"/>
    <col min="2" max="3" width="13.75" customWidth="1"/>
    <col min="4" max="4" width="14.75" customWidth="1"/>
    <col min="5" max="5" width="17.25" customWidth="1"/>
    <col min="6" max="6" width="17.75" customWidth="1"/>
    <col min="7" max="9" width="13.75" customWidth="1"/>
    <col min="10" max="10" width="22.6640625" customWidth="1"/>
    <col min="11" max="11" width="32.4140625" customWidth="1"/>
    <col min="12" max="12" width="12.4140625" customWidth="1"/>
    <col min="13" max="13" width="11.4140625" customWidth="1"/>
    <col min="14" max="14" width="11" customWidth="1"/>
    <col min="15" max="16" width="11.25" customWidth="1"/>
    <col min="17" max="17" width="11.5" customWidth="1"/>
    <col min="18" max="18" width="11.75" customWidth="1"/>
    <col min="19" max="21" width="8" customWidth="1"/>
    <col min="22" max="22" width="12.1640625" customWidth="1"/>
    <col min="23" max="25" width="8" customWidth="1"/>
  </cols>
  <sheetData>
    <row r="1" spans="1:18" ht="15.5">
      <c r="A1" s="1"/>
      <c r="B1" s="490"/>
      <c r="C1" s="491"/>
      <c r="D1" s="492" t="s">
        <v>0</v>
      </c>
      <c r="E1" s="493"/>
      <c r="F1" s="491"/>
      <c r="G1" s="494" t="s">
        <v>1</v>
      </c>
      <c r="H1" s="493"/>
      <c r="I1" s="491"/>
      <c r="J1" s="2"/>
    </row>
    <row r="2" spans="1:18" ht="15.5">
      <c r="A2" s="3"/>
      <c r="B2" s="4">
        <v>2019</v>
      </c>
      <c r="C2" s="5">
        <v>2020</v>
      </c>
      <c r="D2" s="6">
        <v>2018</v>
      </c>
      <c r="E2" s="7">
        <v>2019</v>
      </c>
      <c r="F2" s="8">
        <v>2020</v>
      </c>
      <c r="G2" s="9">
        <v>2018</v>
      </c>
      <c r="H2" s="4">
        <v>2019</v>
      </c>
      <c r="I2" s="10">
        <v>2020</v>
      </c>
      <c r="J2" s="11"/>
      <c r="L2" s="12">
        <v>2021</v>
      </c>
      <c r="M2" s="12">
        <v>2022</v>
      </c>
      <c r="N2" s="13">
        <v>2023</v>
      </c>
      <c r="O2" s="14">
        <v>2024</v>
      </c>
      <c r="P2" s="12">
        <v>2025</v>
      </c>
      <c r="Q2" s="13">
        <v>2026</v>
      </c>
      <c r="R2" s="13">
        <v>2027</v>
      </c>
    </row>
    <row r="3" spans="1:18" ht="15.5">
      <c r="A3" s="15" t="s">
        <v>2</v>
      </c>
      <c r="B3" s="16"/>
      <c r="C3" s="17"/>
      <c r="D3" s="18"/>
      <c r="E3" s="16"/>
      <c r="F3" s="19"/>
      <c r="G3" s="18"/>
      <c r="H3" s="16"/>
      <c r="I3" s="19"/>
      <c r="J3" s="20"/>
      <c r="L3" s="21"/>
      <c r="M3" s="21"/>
      <c r="N3" s="21"/>
      <c r="O3" s="21"/>
      <c r="P3" s="21"/>
      <c r="Q3" s="21"/>
      <c r="R3" s="21"/>
    </row>
    <row r="4" spans="1:18" ht="18" customHeight="1">
      <c r="A4" s="22" t="s">
        <v>3</v>
      </c>
      <c r="B4" s="23">
        <v>11830</v>
      </c>
      <c r="C4" s="24">
        <f>11830*0.98</f>
        <v>11593.4</v>
      </c>
      <c r="D4" s="25">
        <v>8077</v>
      </c>
      <c r="E4" s="26">
        <v>8969</v>
      </c>
      <c r="F4" s="27">
        <v>9011</v>
      </c>
      <c r="G4" s="25" t="e">
        <f t="shared" ref="G4:G11" si="0">D4/#REF!</f>
        <v>#REF!</v>
      </c>
      <c r="H4" s="25">
        <f t="shared" ref="H4:I4" si="1">E4/B4</f>
        <v>0.75815722738799662</v>
      </c>
      <c r="I4" s="25">
        <f t="shared" si="1"/>
        <v>0.77725257474080078</v>
      </c>
      <c r="J4" s="28"/>
      <c r="K4" s="29" t="s">
        <v>4</v>
      </c>
      <c r="L4" s="30">
        <f t="shared" ref="L4:L10" si="2">I4*C4</f>
        <v>9011</v>
      </c>
      <c r="M4" s="30">
        <f t="shared" ref="M4:M10" si="3">L4</f>
        <v>9011</v>
      </c>
      <c r="N4" s="30">
        <f t="shared" ref="N4:N8" si="4">M4*(1+5%)</f>
        <v>9461.5500000000011</v>
      </c>
      <c r="O4" s="30">
        <f t="shared" ref="O4:P4" si="5">N4</f>
        <v>9461.5500000000011</v>
      </c>
      <c r="P4" s="30">
        <f t="shared" si="5"/>
        <v>9461.5500000000011</v>
      </c>
      <c r="Q4" s="30">
        <f t="shared" ref="Q4:Q8" si="6">P4*(1+5%)</f>
        <v>9934.6275000000023</v>
      </c>
      <c r="R4" s="30">
        <f t="shared" ref="R4:R10" si="7">Q4</f>
        <v>9934.6275000000023</v>
      </c>
    </row>
    <row r="5" spans="1:18" ht="18" customHeight="1">
      <c r="A5" s="22" t="s">
        <v>5</v>
      </c>
      <c r="B5" s="23">
        <v>11830</v>
      </c>
      <c r="C5" s="31">
        <v>11830</v>
      </c>
      <c r="D5" s="25">
        <v>8074</v>
      </c>
      <c r="E5" s="26">
        <v>8489</v>
      </c>
      <c r="F5" s="27">
        <v>8152</v>
      </c>
      <c r="G5" s="25" t="e">
        <f t="shared" si="0"/>
        <v>#REF!</v>
      </c>
      <c r="H5" s="25">
        <f t="shared" ref="H5:I5" si="8">E5/B5</f>
        <v>0.71758241758241759</v>
      </c>
      <c r="I5" s="25">
        <f t="shared" si="8"/>
        <v>0.68909551986475059</v>
      </c>
      <c r="J5" s="28"/>
      <c r="K5" s="29" t="s">
        <v>6</v>
      </c>
      <c r="L5" s="30">
        <f t="shared" si="2"/>
        <v>8151.9999999999991</v>
      </c>
      <c r="M5" s="30">
        <f t="shared" si="3"/>
        <v>8151.9999999999991</v>
      </c>
      <c r="N5" s="30">
        <f t="shared" si="4"/>
        <v>8559.5999999999985</v>
      </c>
      <c r="O5" s="30">
        <f t="shared" ref="O5:P5" si="9">N5</f>
        <v>8559.5999999999985</v>
      </c>
      <c r="P5" s="30">
        <f t="shared" si="9"/>
        <v>8559.5999999999985</v>
      </c>
      <c r="Q5" s="30">
        <f t="shared" si="6"/>
        <v>8987.5799999999981</v>
      </c>
      <c r="R5" s="30">
        <f t="shared" si="7"/>
        <v>8987.5799999999981</v>
      </c>
    </row>
    <row r="6" spans="1:18" ht="18" customHeight="1">
      <c r="A6" s="22" t="s">
        <v>7</v>
      </c>
      <c r="B6" s="23">
        <v>13985</v>
      </c>
      <c r="C6" s="31">
        <v>13985</v>
      </c>
      <c r="D6" s="25">
        <v>8269</v>
      </c>
      <c r="E6" s="26">
        <v>8444</v>
      </c>
      <c r="F6" s="27">
        <v>8271</v>
      </c>
      <c r="G6" s="25" t="e">
        <f t="shared" si="0"/>
        <v>#REF!</v>
      </c>
      <c r="H6" s="25">
        <f t="shared" ref="H6:I6" si="10">E6/B6</f>
        <v>0.60378977475867002</v>
      </c>
      <c r="I6" s="25">
        <f t="shared" si="10"/>
        <v>0.59141937790489807</v>
      </c>
      <c r="J6" s="28"/>
      <c r="K6" s="29" t="s">
        <v>8</v>
      </c>
      <c r="L6" s="30">
        <f t="shared" si="2"/>
        <v>8271</v>
      </c>
      <c r="M6" s="30">
        <f t="shared" si="3"/>
        <v>8271</v>
      </c>
      <c r="N6" s="30">
        <f t="shared" si="4"/>
        <v>8684.5500000000011</v>
      </c>
      <c r="O6" s="30">
        <f t="shared" ref="O6:P6" si="11">N6</f>
        <v>8684.5500000000011</v>
      </c>
      <c r="P6" s="30">
        <f t="shared" si="11"/>
        <v>8684.5500000000011</v>
      </c>
      <c r="Q6" s="30">
        <f t="shared" si="6"/>
        <v>9118.777500000002</v>
      </c>
      <c r="R6" s="30">
        <f t="shared" si="7"/>
        <v>9118.777500000002</v>
      </c>
    </row>
    <row r="7" spans="1:18" ht="18" customHeight="1">
      <c r="A7" s="22" t="s">
        <v>9</v>
      </c>
      <c r="B7" s="23">
        <v>10644</v>
      </c>
      <c r="C7" s="31">
        <v>10644</v>
      </c>
      <c r="D7" s="25">
        <v>8068</v>
      </c>
      <c r="E7" s="26">
        <v>8735</v>
      </c>
      <c r="F7" s="27">
        <v>8735</v>
      </c>
      <c r="G7" s="25" t="e">
        <f t="shared" si="0"/>
        <v>#REF!</v>
      </c>
      <c r="H7" s="25">
        <f t="shared" ref="H7:I7" si="12">E7/B7</f>
        <v>0.82065013152950017</v>
      </c>
      <c r="I7" s="25">
        <f t="shared" si="12"/>
        <v>0.82065013152950017</v>
      </c>
      <c r="J7" s="28"/>
      <c r="K7" s="29" t="s">
        <v>10</v>
      </c>
      <c r="L7" s="30">
        <f t="shared" si="2"/>
        <v>8735</v>
      </c>
      <c r="M7" s="30">
        <f t="shared" si="3"/>
        <v>8735</v>
      </c>
      <c r="N7" s="30">
        <f t="shared" si="4"/>
        <v>9171.75</v>
      </c>
      <c r="O7" s="30">
        <f t="shared" ref="O7:P7" si="13">N7</f>
        <v>9171.75</v>
      </c>
      <c r="P7" s="30">
        <f t="shared" si="13"/>
        <v>9171.75</v>
      </c>
      <c r="Q7" s="30">
        <f t="shared" si="6"/>
        <v>9630.3374999999996</v>
      </c>
      <c r="R7" s="30">
        <f t="shared" si="7"/>
        <v>9630.3374999999996</v>
      </c>
    </row>
    <row r="8" spans="1:18" ht="18" customHeight="1">
      <c r="A8" s="22" t="s">
        <v>11</v>
      </c>
      <c r="B8" s="23">
        <v>7644</v>
      </c>
      <c r="C8" s="31">
        <v>7644</v>
      </c>
      <c r="D8" s="25">
        <v>5015</v>
      </c>
      <c r="E8" s="26">
        <v>5060</v>
      </c>
      <c r="F8" s="27">
        <v>5601</v>
      </c>
      <c r="G8" s="25" t="e">
        <f t="shared" si="0"/>
        <v>#REF!</v>
      </c>
      <c r="H8" s="25">
        <f t="shared" ref="H8:I8" si="14">E8/B8</f>
        <v>0.66195709052851914</v>
      </c>
      <c r="I8" s="25">
        <f t="shared" si="14"/>
        <v>0.73273155416012559</v>
      </c>
      <c r="J8" s="28"/>
      <c r="K8" s="29" t="s">
        <v>12</v>
      </c>
      <c r="L8" s="30">
        <f t="shared" si="2"/>
        <v>5601</v>
      </c>
      <c r="M8" s="32">
        <f t="shared" si="3"/>
        <v>5601</v>
      </c>
      <c r="N8" s="30">
        <f t="shared" si="4"/>
        <v>5881.05</v>
      </c>
      <c r="O8" s="30">
        <f t="shared" ref="O8:P8" si="15">N8</f>
        <v>5881.05</v>
      </c>
      <c r="P8" s="30">
        <f t="shared" si="15"/>
        <v>5881.05</v>
      </c>
      <c r="Q8" s="30">
        <f t="shared" si="6"/>
        <v>6175.1025000000009</v>
      </c>
      <c r="R8" s="30">
        <f t="shared" si="7"/>
        <v>6175.1025000000009</v>
      </c>
    </row>
    <row r="9" spans="1:18" ht="18" customHeight="1">
      <c r="A9" s="22" t="s">
        <v>13</v>
      </c>
      <c r="B9" s="23">
        <v>7313</v>
      </c>
      <c r="C9" s="31">
        <v>7313</v>
      </c>
      <c r="D9" s="25">
        <v>3233</v>
      </c>
      <c r="E9" s="26">
        <v>3432</v>
      </c>
      <c r="F9" s="27">
        <v>3321</v>
      </c>
      <c r="G9" s="25" t="e">
        <f t="shared" si="0"/>
        <v>#REF!</v>
      </c>
      <c r="H9" s="25">
        <f t="shared" ref="H9:I9" si="16">E9/B9</f>
        <v>0.46930124435936005</v>
      </c>
      <c r="I9" s="25">
        <f t="shared" si="16"/>
        <v>0.45412279502256259</v>
      </c>
      <c r="J9" s="28"/>
      <c r="K9" s="29" t="s">
        <v>14</v>
      </c>
      <c r="L9" s="30">
        <f t="shared" si="2"/>
        <v>3321</v>
      </c>
      <c r="M9" s="32">
        <f t="shared" si="3"/>
        <v>3321</v>
      </c>
      <c r="N9" s="30">
        <f t="shared" ref="N9:N10" si="17">M9*(1+10%)</f>
        <v>3653.1000000000004</v>
      </c>
      <c r="O9" s="30">
        <f t="shared" ref="O9:P9" si="18">N9</f>
        <v>3653.1000000000004</v>
      </c>
      <c r="P9" s="30">
        <f t="shared" si="18"/>
        <v>3653.1000000000004</v>
      </c>
      <c r="Q9" s="30">
        <f t="shared" ref="Q9:Q10" si="19">P9*(1+10%)</f>
        <v>4018.4100000000008</v>
      </c>
      <c r="R9" s="30">
        <f t="shared" si="7"/>
        <v>4018.4100000000008</v>
      </c>
    </row>
    <row r="10" spans="1:18" ht="18" customHeight="1">
      <c r="A10" s="33" t="s">
        <v>15</v>
      </c>
      <c r="B10" s="34">
        <v>1250</v>
      </c>
      <c r="C10" s="35">
        <v>1250</v>
      </c>
      <c r="D10" s="36">
        <v>3156</v>
      </c>
      <c r="E10" s="37">
        <v>3297</v>
      </c>
      <c r="F10" s="38">
        <v>3372</v>
      </c>
      <c r="G10" s="25" t="e">
        <f t="shared" si="0"/>
        <v>#REF!</v>
      </c>
      <c r="H10" s="36">
        <f t="shared" ref="H10:I10" si="20">E10/B10</f>
        <v>2.6375999999999999</v>
      </c>
      <c r="I10" s="36">
        <f t="shared" si="20"/>
        <v>2.6976</v>
      </c>
      <c r="J10" s="39"/>
      <c r="K10" s="29" t="s">
        <v>16</v>
      </c>
      <c r="L10" s="30">
        <f t="shared" si="2"/>
        <v>3372</v>
      </c>
      <c r="M10" s="32">
        <f t="shared" si="3"/>
        <v>3372</v>
      </c>
      <c r="N10" s="30">
        <f t="shared" si="17"/>
        <v>3709.2000000000003</v>
      </c>
      <c r="O10" s="30">
        <f t="shared" ref="O10:P10" si="21">N10</f>
        <v>3709.2000000000003</v>
      </c>
      <c r="P10" s="30">
        <f t="shared" si="21"/>
        <v>3709.2000000000003</v>
      </c>
      <c r="Q10" s="30">
        <f t="shared" si="19"/>
        <v>4080.1200000000008</v>
      </c>
      <c r="R10" s="30">
        <f t="shared" si="7"/>
        <v>4080.1200000000008</v>
      </c>
    </row>
    <row r="11" spans="1:18" ht="18" customHeight="1">
      <c r="A11" s="40" t="s">
        <v>17</v>
      </c>
      <c r="B11" s="41">
        <f t="shared" ref="B11:F11" si="22">SUM(B4:B10)</f>
        <v>64496</v>
      </c>
      <c r="C11" s="42">
        <f t="shared" si="22"/>
        <v>64259.4</v>
      </c>
      <c r="D11" s="43">
        <f t="shared" si="22"/>
        <v>43892</v>
      </c>
      <c r="E11" s="43">
        <f t="shared" si="22"/>
        <v>46426</v>
      </c>
      <c r="F11" s="43">
        <f t="shared" si="22"/>
        <v>46463</v>
      </c>
      <c r="G11" s="44" t="e">
        <f t="shared" si="0"/>
        <v>#REF!</v>
      </c>
      <c r="H11" s="44">
        <f t="shared" ref="H11:I11" si="23">E11/B11</f>
        <v>0.71982758620689657</v>
      </c>
      <c r="I11" s="44">
        <f t="shared" si="23"/>
        <v>0.72305374777853515</v>
      </c>
      <c r="J11" s="45"/>
      <c r="K11" s="21"/>
      <c r="L11" s="46">
        <f t="shared" ref="L11:R11" si="24">SUM(L4:L10)</f>
        <v>46463</v>
      </c>
      <c r="M11" s="46">
        <f t="shared" si="24"/>
        <v>46463</v>
      </c>
      <c r="N11" s="46">
        <f t="shared" si="24"/>
        <v>49120.800000000003</v>
      </c>
      <c r="O11" s="46">
        <f t="shared" si="24"/>
        <v>49120.800000000003</v>
      </c>
      <c r="P11" s="46">
        <f t="shared" si="24"/>
        <v>49120.800000000003</v>
      </c>
      <c r="Q11" s="46">
        <f t="shared" si="24"/>
        <v>51944.955000000009</v>
      </c>
      <c r="R11" s="46">
        <f t="shared" si="24"/>
        <v>51944.955000000009</v>
      </c>
    </row>
    <row r="12" spans="1:18" ht="18" customHeight="1">
      <c r="A12" s="47"/>
      <c r="B12" s="48"/>
      <c r="C12" s="49"/>
      <c r="D12" s="48"/>
      <c r="E12" s="48"/>
      <c r="F12" s="48"/>
      <c r="G12" s="48"/>
      <c r="H12" s="48"/>
      <c r="I12" s="48"/>
      <c r="J12" s="48"/>
      <c r="L12" s="32"/>
      <c r="M12" s="32"/>
      <c r="N12" s="32"/>
      <c r="O12" s="32"/>
      <c r="P12" s="32"/>
    </row>
    <row r="13" spans="1:18" ht="18" customHeight="1">
      <c r="A13" s="50" t="s">
        <v>18</v>
      </c>
      <c r="B13" s="51"/>
      <c r="C13" s="52"/>
      <c r="D13" s="51"/>
      <c r="E13" s="51"/>
      <c r="F13" s="51"/>
      <c r="G13" s="51"/>
      <c r="H13" s="51"/>
      <c r="I13" s="51"/>
      <c r="J13" s="51"/>
    </row>
    <row r="14" spans="1:18" ht="18" customHeight="1">
      <c r="A14" s="22" t="s">
        <v>19</v>
      </c>
      <c r="B14" s="23">
        <v>33214</v>
      </c>
      <c r="C14" s="31">
        <f>36230*0.78</f>
        <v>28259.4</v>
      </c>
      <c r="D14" s="53">
        <v>33076</v>
      </c>
      <c r="E14" s="23">
        <v>27919</v>
      </c>
      <c r="F14" s="54">
        <v>19306</v>
      </c>
      <c r="G14" s="25" t="e">
        <f t="shared" ref="G14:G17" si="25">D14/#REF!</f>
        <v>#REF!</v>
      </c>
      <c r="H14" s="25">
        <f t="shared" ref="H14:I14" si="26">E14/B14</f>
        <v>0.8405792738002047</v>
      </c>
      <c r="I14" s="25">
        <f t="shared" si="26"/>
        <v>0.68317090950267867</v>
      </c>
      <c r="J14" s="28"/>
      <c r="K14" s="29" t="s">
        <v>20</v>
      </c>
      <c r="L14" s="30">
        <f t="shared" ref="L14:L15" si="27">I14*C14</f>
        <v>19306</v>
      </c>
      <c r="M14" s="30">
        <f t="shared" ref="M14:M16" si="28">L14</f>
        <v>19306</v>
      </c>
      <c r="N14" s="30">
        <f t="shared" ref="N14:N16" si="29">M14*(1+5%)</f>
        <v>20271.3</v>
      </c>
      <c r="O14" s="30">
        <f t="shared" ref="O14:P14" si="30">N14</f>
        <v>20271.3</v>
      </c>
      <c r="P14" s="30">
        <f t="shared" si="30"/>
        <v>20271.3</v>
      </c>
      <c r="Q14" s="30">
        <f t="shared" ref="Q14:Q16" si="31">P14*(1+5%)</f>
        <v>21284.865000000002</v>
      </c>
      <c r="R14" s="30">
        <f t="shared" ref="R14:R16" si="32">Q14</f>
        <v>21284.865000000002</v>
      </c>
    </row>
    <row r="15" spans="1:18" ht="18" customHeight="1">
      <c r="A15" s="22" t="s">
        <v>21</v>
      </c>
      <c r="B15" s="23">
        <v>31904</v>
      </c>
      <c r="C15" s="31">
        <f>31970*0.94</f>
        <v>30051.8</v>
      </c>
      <c r="D15" s="53">
        <v>36537</v>
      </c>
      <c r="E15" s="23">
        <v>34574</v>
      </c>
      <c r="F15" s="54">
        <v>30923</v>
      </c>
      <c r="G15" s="25" t="e">
        <f t="shared" si="25"/>
        <v>#REF!</v>
      </c>
      <c r="H15" s="25">
        <f t="shared" ref="H15:I15" si="33">E15/B15</f>
        <v>1.0836885656970914</v>
      </c>
      <c r="I15" s="25">
        <f t="shared" si="33"/>
        <v>1.028989944029975</v>
      </c>
      <c r="J15" s="28"/>
      <c r="K15" s="29" t="s">
        <v>12</v>
      </c>
      <c r="L15" s="30">
        <f t="shared" si="27"/>
        <v>30923.000000000004</v>
      </c>
      <c r="M15" s="30">
        <f t="shared" si="28"/>
        <v>30923.000000000004</v>
      </c>
      <c r="N15" s="30">
        <f t="shared" si="29"/>
        <v>32469.150000000005</v>
      </c>
      <c r="O15" s="30">
        <f t="shared" ref="O15:P15" si="34">N15</f>
        <v>32469.150000000005</v>
      </c>
      <c r="P15" s="30">
        <f t="shared" si="34"/>
        <v>32469.150000000005</v>
      </c>
      <c r="Q15" s="30">
        <f t="shared" si="31"/>
        <v>34092.607500000006</v>
      </c>
      <c r="R15" s="30">
        <f t="shared" si="32"/>
        <v>34092.607500000006</v>
      </c>
    </row>
    <row r="16" spans="1:18" ht="18" customHeight="1">
      <c r="A16" s="33" t="s">
        <v>22</v>
      </c>
      <c r="B16" s="34">
        <v>25405</v>
      </c>
      <c r="C16" s="35">
        <f>25407*0.92</f>
        <v>23374.440000000002</v>
      </c>
      <c r="D16" s="55">
        <v>43814</v>
      </c>
      <c r="E16" s="34">
        <v>45081</v>
      </c>
      <c r="F16" s="56">
        <v>33341</v>
      </c>
      <c r="G16" s="25" t="e">
        <f t="shared" si="25"/>
        <v>#REF!</v>
      </c>
      <c r="H16" s="25">
        <f t="shared" ref="H16:I16" si="35">E16/B16</f>
        <v>1.774493209998032</v>
      </c>
      <c r="I16" s="25">
        <f t="shared" si="35"/>
        <v>1.4263871134452846</v>
      </c>
      <c r="J16" s="57"/>
      <c r="K16" s="29" t="s">
        <v>4</v>
      </c>
      <c r="L16" s="30">
        <f>I16*(1+2%)*C16</f>
        <v>34007.82</v>
      </c>
      <c r="M16" s="30">
        <f t="shared" si="28"/>
        <v>34007.82</v>
      </c>
      <c r="N16" s="30">
        <f t="shared" si="29"/>
        <v>35708.211000000003</v>
      </c>
      <c r="O16" s="30">
        <f t="shared" ref="O16:P16" si="36">N16</f>
        <v>35708.211000000003</v>
      </c>
      <c r="P16" s="30">
        <f t="shared" si="36"/>
        <v>35708.211000000003</v>
      </c>
      <c r="Q16" s="30">
        <f t="shared" si="31"/>
        <v>37493.621550000003</v>
      </c>
      <c r="R16" s="30">
        <f t="shared" si="32"/>
        <v>37493.621550000003</v>
      </c>
    </row>
    <row r="17" spans="1:18" ht="18" customHeight="1">
      <c r="A17" s="40" t="s">
        <v>17</v>
      </c>
      <c r="B17" s="41">
        <v>90523</v>
      </c>
      <c r="C17" s="42">
        <f>SUM(C14:C16)</f>
        <v>81685.64</v>
      </c>
      <c r="D17" s="58">
        <v>113427</v>
      </c>
      <c r="E17" s="41">
        <v>107574</v>
      </c>
      <c r="F17" s="41">
        <v>83570</v>
      </c>
      <c r="G17" s="43" t="e">
        <f t="shared" si="25"/>
        <v>#REF!</v>
      </c>
      <c r="H17" s="43">
        <f t="shared" ref="H17:I17" si="37">E17/B17</f>
        <v>1.1883609690354937</v>
      </c>
      <c r="I17" s="44">
        <f t="shared" si="37"/>
        <v>1.0230684365085467</v>
      </c>
      <c r="J17" s="43"/>
      <c r="L17" s="46">
        <f t="shared" ref="L17:R17" si="38">SUM(L14:L16)</f>
        <v>84236.82</v>
      </c>
      <c r="M17" s="46">
        <f t="shared" si="38"/>
        <v>84236.82</v>
      </c>
      <c r="N17" s="46">
        <f t="shared" si="38"/>
        <v>88448.661000000007</v>
      </c>
      <c r="O17" s="46">
        <f t="shared" si="38"/>
        <v>88448.661000000007</v>
      </c>
      <c r="P17" s="46">
        <f t="shared" si="38"/>
        <v>88448.661000000007</v>
      </c>
      <c r="Q17" s="46">
        <f t="shared" si="38"/>
        <v>92871.094050000014</v>
      </c>
      <c r="R17" s="46">
        <f t="shared" si="38"/>
        <v>92871.094050000014</v>
      </c>
    </row>
    <row r="18" spans="1:18" ht="18" customHeight="1">
      <c r="A18" s="47"/>
      <c r="B18" s="48"/>
      <c r="C18" s="49"/>
      <c r="D18" s="48"/>
      <c r="E18" s="48"/>
      <c r="F18" s="48"/>
      <c r="G18" s="48"/>
      <c r="H18" s="48"/>
      <c r="I18" s="48"/>
      <c r="J18" s="48"/>
      <c r="L18" s="32"/>
      <c r="M18" s="32"/>
      <c r="N18" s="32"/>
      <c r="O18" s="32"/>
      <c r="P18" s="32"/>
    </row>
    <row r="19" spans="1:18" ht="18" customHeight="1">
      <c r="A19" s="50" t="s">
        <v>23</v>
      </c>
      <c r="B19" s="51"/>
      <c r="C19" s="52"/>
      <c r="D19" s="51"/>
      <c r="E19" s="51"/>
      <c r="F19" s="51"/>
      <c r="G19" s="51"/>
      <c r="H19" s="51"/>
      <c r="I19" s="51"/>
      <c r="J19" s="51"/>
      <c r="L19" s="32"/>
      <c r="M19" s="32"/>
      <c r="N19" s="32"/>
      <c r="O19" s="32"/>
      <c r="P19" s="32"/>
    </row>
    <row r="20" spans="1:18" ht="18" customHeight="1">
      <c r="A20" s="59" t="s">
        <v>24</v>
      </c>
      <c r="B20" s="23">
        <v>15900</v>
      </c>
      <c r="C20" s="31">
        <f>22359*0.92</f>
        <v>20570.280000000002</v>
      </c>
      <c r="D20" s="25">
        <v>10515</v>
      </c>
      <c r="E20" s="26">
        <v>9904</v>
      </c>
      <c r="F20" s="27">
        <v>7310</v>
      </c>
      <c r="G20" s="25" t="e">
        <f t="shared" ref="G20:G30" si="39">D20/#REF!</f>
        <v>#REF!</v>
      </c>
      <c r="H20" s="26">
        <f t="shared" ref="H20:I20" si="40">E20/B20</f>
        <v>0.62289308176100633</v>
      </c>
      <c r="I20" s="27">
        <f t="shared" si="40"/>
        <v>0.35536706354993702</v>
      </c>
      <c r="J20" s="60"/>
      <c r="K20" s="29" t="s">
        <v>25</v>
      </c>
      <c r="L20" s="30">
        <f t="shared" ref="L20:L33" si="41">I20*C20</f>
        <v>7309.9999999999991</v>
      </c>
      <c r="M20" s="30">
        <f t="shared" ref="M20:M33" si="42">L20</f>
        <v>7309.9999999999991</v>
      </c>
      <c r="N20" s="30">
        <f t="shared" ref="N20:N23" si="43">M20*(1+5%)</f>
        <v>7675.4999999999991</v>
      </c>
      <c r="O20" s="30">
        <f t="shared" ref="O20:P20" si="44">N20</f>
        <v>7675.4999999999991</v>
      </c>
      <c r="P20" s="30">
        <f t="shared" si="44"/>
        <v>7675.4999999999991</v>
      </c>
      <c r="Q20" s="30">
        <f t="shared" ref="Q20:Q23" si="45">P20*(1+5%)</f>
        <v>8059.2749999999996</v>
      </c>
      <c r="R20" s="30">
        <f t="shared" ref="R20:R33" si="46">Q20</f>
        <v>8059.2749999999996</v>
      </c>
    </row>
    <row r="21" spans="1:18" ht="18" customHeight="1">
      <c r="A21" s="59" t="s">
        <v>26</v>
      </c>
      <c r="B21" s="23">
        <v>20310</v>
      </c>
      <c r="C21" s="31">
        <v>20310</v>
      </c>
      <c r="D21" s="25">
        <f>20075+39</f>
        <v>20114</v>
      </c>
      <c r="E21" s="26">
        <f>20922+39</f>
        <v>20961</v>
      </c>
      <c r="F21" s="27">
        <f>18284+39</f>
        <v>18323</v>
      </c>
      <c r="G21" s="25" t="e">
        <f t="shared" si="39"/>
        <v>#REF!</v>
      </c>
      <c r="H21" s="26">
        <f t="shared" ref="H21:I21" si="47">E21/B21</f>
        <v>1.0320531757754801</v>
      </c>
      <c r="I21" s="27">
        <f t="shared" si="47"/>
        <v>0.90216642048252094</v>
      </c>
      <c r="J21" s="60"/>
      <c r="K21" s="29" t="s">
        <v>27</v>
      </c>
      <c r="L21" s="30">
        <f t="shared" si="41"/>
        <v>18323</v>
      </c>
      <c r="M21" s="30">
        <f t="shared" si="42"/>
        <v>18323</v>
      </c>
      <c r="N21" s="30">
        <f t="shared" si="43"/>
        <v>19239.150000000001</v>
      </c>
      <c r="O21" s="30">
        <f t="shared" ref="O21:P21" si="48">N21</f>
        <v>19239.150000000001</v>
      </c>
      <c r="P21" s="30">
        <f t="shared" si="48"/>
        <v>19239.150000000001</v>
      </c>
      <c r="Q21" s="30">
        <f t="shared" si="45"/>
        <v>20201.107500000002</v>
      </c>
      <c r="R21" s="30">
        <f t="shared" si="46"/>
        <v>20201.107500000002</v>
      </c>
    </row>
    <row r="22" spans="1:18" ht="18" customHeight="1">
      <c r="A22" s="59" t="s">
        <v>28</v>
      </c>
      <c r="B22" s="23">
        <v>9881</v>
      </c>
      <c r="C22" s="31">
        <f>9948*0.99</f>
        <v>9848.52</v>
      </c>
      <c r="D22" s="25">
        <v>8964</v>
      </c>
      <c r="E22" s="26">
        <v>10144</v>
      </c>
      <c r="F22" s="27">
        <v>9849</v>
      </c>
      <c r="G22" s="25" t="e">
        <f t="shared" si="39"/>
        <v>#REF!</v>
      </c>
      <c r="H22" s="26">
        <f t="shared" ref="H22:I22" si="49">E22/B22</f>
        <v>1.0266167391964376</v>
      </c>
      <c r="I22" s="27">
        <f t="shared" si="49"/>
        <v>1.0000487382875802</v>
      </c>
      <c r="J22" s="61"/>
      <c r="K22" s="29">
        <v>2013</v>
      </c>
      <c r="L22" s="30">
        <f t="shared" si="41"/>
        <v>9849</v>
      </c>
      <c r="M22" s="30">
        <f t="shared" si="42"/>
        <v>9849</v>
      </c>
      <c r="N22" s="30">
        <f t="shared" si="43"/>
        <v>10341.450000000001</v>
      </c>
      <c r="O22" s="30">
        <f t="shared" ref="O22:P22" si="50">N22</f>
        <v>10341.450000000001</v>
      </c>
      <c r="P22" s="30">
        <f t="shared" si="50"/>
        <v>10341.450000000001</v>
      </c>
      <c r="Q22" s="30">
        <f t="shared" si="45"/>
        <v>10858.522500000001</v>
      </c>
      <c r="R22" s="30">
        <f t="shared" si="46"/>
        <v>10858.522500000001</v>
      </c>
    </row>
    <row r="23" spans="1:18" ht="18" customHeight="1">
      <c r="A23" s="59" t="s">
        <v>29</v>
      </c>
      <c r="B23" s="23">
        <v>16765</v>
      </c>
      <c r="C23" s="31">
        <v>16765</v>
      </c>
      <c r="D23" s="25">
        <v>14473</v>
      </c>
      <c r="E23" s="62">
        <v>14276</v>
      </c>
      <c r="F23" s="63">
        <v>15642</v>
      </c>
      <c r="G23" s="25" t="e">
        <f t="shared" si="39"/>
        <v>#REF!</v>
      </c>
      <c r="H23" s="26">
        <f t="shared" ref="H23:I23" si="51">E23/B23</f>
        <v>0.85153593796600058</v>
      </c>
      <c r="I23" s="27">
        <f t="shared" si="51"/>
        <v>0.9330152102594691</v>
      </c>
      <c r="J23" s="61"/>
      <c r="K23" s="29">
        <v>2015</v>
      </c>
      <c r="L23" s="30">
        <f t="shared" si="41"/>
        <v>15642</v>
      </c>
      <c r="M23" s="30">
        <f t="shared" si="42"/>
        <v>15642</v>
      </c>
      <c r="N23" s="30">
        <f t="shared" si="43"/>
        <v>16424.100000000002</v>
      </c>
      <c r="O23" s="30">
        <f t="shared" ref="O23:P23" si="52">N23</f>
        <v>16424.100000000002</v>
      </c>
      <c r="P23" s="30">
        <f t="shared" si="52"/>
        <v>16424.100000000002</v>
      </c>
      <c r="Q23" s="30">
        <f t="shared" si="45"/>
        <v>17245.305000000004</v>
      </c>
      <c r="R23" s="30">
        <f t="shared" si="46"/>
        <v>17245.305000000004</v>
      </c>
    </row>
    <row r="24" spans="1:18" ht="18" customHeight="1">
      <c r="A24" s="59" t="s">
        <v>30</v>
      </c>
      <c r="B24" s="23">
        <v>3084</v>
      </c>
      <c r="C24" s="31">
        <f>3084*0.99</f>
        <v>3053.16</v>
      </c>
      <c r="D24" s="25">
        <v>3763</v>
      </c>
      <c r="E24" s="26">
        <v>4210</v>
      </c>
      <c r="F24" s="27">
        <v>4225</v>
      </c>
      <c r="G24" s="25" t="e">
        <f t="shared" si="39"/>
        <v>#REF!</v>
      </c>
      <c r="H24" s="26">
        <f t="shared" ref="H24:I24" si="53">E24/B24</f>
        <v>1.3651102464332037</v>
      </c>
      <c r="I24" s="27">
        <f t="shared" si="53"/>
        <v>1.3838121814775513</v>
      </c>
      <c r="J24" s="61"/>
      <c r="K24" s="29">
        <v>2014</v>
      </c>
      <c r="L24" s="30">
        <f t="shared" si="41"/>
        <v>4225</v>
      </c>
      <c r="M24" s="30">
        <f t="shared" si="42"/>
        <v>4225</v>
      </c>
      <c r="N24" s="30">
        <f>M24*(1+10%)</f>
        <v>4647.5</v>
      </c>
      <c r="O24" s="30">
        <f t="shared" ref="O24:P24" si="54">N24</f>
        <v>4647.5</v>
      </c>
      <c r="P24" s="30">
        <f t="shared" si="54"/>
        <v>4647.5</v>
      </c>
      <c r="Q24" s="30">
        <f>P24*(1+10%)</f>
        <v>5112.25</v>
      </c>
      <c r="R24" s="30">
        <f t="shared" si="46"/>
        <v>5112.25</v>
      </c>
    </row>
    <row r="25" spans="1:18" ht="18" customHeight="1">
      <c r="A25" s="59" t="s">
        <v>31</v>
      </c>
      <c r="B25" s="23">
        <v>5999</v>
      </c>
      <c r="C25" s="31">
        <f>5980*0.87</f>
        <v>5202.6000000000004</v>
      </c>
      <c r="D25" s="25">
        <v>9164</v>
      </c>
      <c r="E25" s="26">
        <v>7733</v>
      </c>
      <c r="F25" s="27">
        <v>6922</v>
      </c>
      <c r="G25" s="25" t="e">
        <f t="shared" si="39"/>
        <v>#REF!</v>
      </c>
      <c r="H25" s="26">
        <f t="shared" ref="H25:I25" si="55">E25/B25</f>
        <v>1.2890481746957827</v>
      </c>
      <c r="I25" s="27">
        <f t="shared" si="55"/>
        <v>1.3304886018529196</v>
      </c>
      <c r="J25" s="61"/>
      <c r="K25" s="29">
        <v>2008</v>
      </c>
      <c r="L25" s="30">
        <f t="shared" si="41"/>
        <v>6922</v>
      </c>
      <c r="M25" s="30">
        <f t="shared" si="42"/>
        <v>6922</v>
      </c>
      <c r="N25" s="30">
        <f t="shared" ref="N25:N26" si="56">M25*(1+5%)</f>
        <v>7268.1</v>
      </c>
      <c r="O25" s="30">
        <f t="shared" ref="O25:P25" si="57">N25</f>
        <v>7268.1</v>
      </c>
      <c r="P25" s="30">
        <f t="shared" si="57"/>
        <v>7268.1</v>
      </c>
      <c r="Q25" s="30">
        <f t="shared" ref="Q25:Q26" si="58">P25*(1+5%)</f>
        <v>7631.505000000001</v>
      </c>
      <c r="R25" s="30">
        <f t="shared" si="46"/>
        <v>7631.505000000001</v>
      </c>
    </row>
    <row r="26" spans="1:18" ht="18" customHeight="1">
      <c r="A26" s="59" t="s">
        <v>32</v>
      </c>
      <c r="B26" s="23">
        <v>4508</v>
      </c>
      <c r="C26" s="31">
        <f>4510*0.94</f>
        <v>4239.3999999999996</v>
      </c>
      <c r="D26" s="25">
        <v>6427</v>
      </c>
      <c r="E26" s="26">
        <v>5814</v>
      </c>
      <c r="F26" s="27">
        <v>5557</v>
      </c>
      <c r="G26" s="25" t="e">
        <f t="shared" si="39"/>
        <v>#REF!</v>
      </c>
      <c r="H26" s="26">
        <f t="shared" ref="H26:I26" si="59">E26/B26</f>
        <v>1.2897071872227153</v>
      </c>
      <c r="I26" s="27">
        <f t="shared" si="59"/>
        <v>1.3107986979289523</v>
      </c>
      <c r="J26" s="61"/>
      <c r="K26" s="29">
        <v>2005</v>
      </c>
      <c r="L26" s="30">
        <f t="shared" si="41"/>
        <v>5557</v>
      </c>
      <c r="M26" s="30">
        <f t="shared" si="42"/>
        <v>5557</v>
      </c>
      <c r="N26" s="30">
        <f t="shared" si="56"/>
        <v>5834.85</v>
      </c>
      <c r="O26" s="30">
        <f t="shared" ref="O26:P26" si="60">N26</f>
        <v>5834.85</v>
      </c>
      <c r="P26" s="30">
        <f t="shared" si="60"/>
        <v>5834.85</v>
      </c>
      <c r="Q26" s="30">
        <f t="shared" si="58"/>
        <v>6126.5925000000007</v>
      </c>
      <c r="R26" s="30">
        <f t="shared" si="46"/>
        <v>6126.5925000000007</v>
      </c>
    </row>
    <row r="27" spans="1:18" ht="18" customHeight="1">
      <c r="A27" s="59" t="s">
        <v>33</v>
      </c>
      <c r="B27" s="23">
        <v>10413</v>
      </c>
      <c r="C27" s="31">
        <f>12841*0.86</f>
        <v>11043.26</v>
      </c>
      <c r="D27" s="25">
        <v>8899</v>
      </c>
      <c r="E27" s="26">
        <v>9101</v>
      </c>
      <c r="F27" s="27">
        <v>10008</v>
      </c>
      <c r="G27" s="25" t="e">
        <f t="shared" si="39"/>
        <v>#REF!</v>
      </c>
      <c r="H27" s="26">
        <f t="shared" ref="H27:I27" si="61">E27/B27</f>
        <v>0.87400364928454821</v>
      </c>
      <c r="I27" s="27">
        <f t="shared" si="61"/>
        <v>0.90625413147929146</v>
      </c>
      <c r="J27" s="61"/>
      <c r="K27" s="29">
        <v>2014</v>
      </c>
      <c r="L27" s="30">
        <f t="shared" si="41"/>
        <v>10008</v>
      </c>
      <c r="M27" s="30">
        <f t="shared" si="42"/>
        <v>10008</v>
      </c>
      <c r="N27" s="30">
        <f>M27*(1+10%)</f>
        <v>11008.800000000001</v>
      </c>
      <c r="O27" s="30">
        <f t="shared" ref="O27:P27" si="62">N27</f>
        <v>11008.800000000001</v>
      </c>
      <c r="P27" s="30">
        <f t="shared" si="62"/>
        <v>11008.800000000001</v>
      </c>
      <c r="Q27" s="30">
        <f>P27*(1+10%)</f>
        <v>12109.680000000002</v>
      </c>
      <c r="R27" s="30">
        <f t="shared" si="46"/>
        <v>12109.680000000002</v>
      </c>
    </row>
    <row r="28" spans="1:18" ht="18" customHeight="1">
      <c r="A28" s="59" t="s">
        <v>34</v>
      </c>
      <c r="B28" s="23">
        <v>4283</v>
      </c>
      <c r="C28" s="64">
        <f>4287*0.91</f>
        <v>3901.17</v>
      </c>
      <c r="D28" s="25">
        <v>2181</v>
      </c>
      <c r="E28" s="26">
        <v>2643</v>
      </c>
      <c r="F28" s="27">
        <v>6817</v>
      </c>
      <c r="G28" s="25" t="e">
        <f t="shared" si="39"/>
        <v>#REF!</v>
      </c>
      <c r="H28" s="26">
        <f t="shared" ref="H28:I28" si="63">E28/B28</f>
        <v>0.6170908241886528</v>
      </c>
      <c r="I28" s="27">
        <f t="shared" si="63"/>
        <v>1.7474244906015375</v>
      </c>
      <c r="J28" s="60"/>
      <c r="K28" s="29">
        <v>2011</v>
      </c>
      <c r="L28" s="30">
        <f t="shared" si="41"/>
        <v>6817</v>
      </c>
      <c r="M28" s="30">
        <f t="shared" si="42"/>
        <v>6817</v>
      </c>
      <c r="N28" s="30">
        <f t="shared" ref="N28:N32" si="64">M28*(1+5%)</f>
        <v>7157.85</v>
      </c>
      <c r="O28" s="30">
        <f t="shared" ref="O28:P28" si="65">N28</f>
        <v>7157.85</v>
      </c>
      <c r="P28" s="30">
        <f t="shared" si="65"/>
        <v>7157.85</v>
      </c>
      <c r="Q28" s="30">
        <f t="shared" ref="Q28:Q32" si="66">P28*(1+5%)</f>
        <v>7515.7425000000003</v>
      </c>
      <c r="R28" s="30">
        <f t="shared" si="46"/>
        <v>7515.7425000000003</v>
      </c>
    </row>
    <row r="29" spans="1:18" ht="18" customHeight="1">
      <c r="A29" s="59" t="s">
        <v>35</v>
      </c>
      <c r="B29" s="23">
        <v>7179</v>
      </c>
      <c r="C29" s="64">
        <f>7668*0.89</f>
        <v>6824.52</v>
      </c>
      <c r="D29" s="25">
        <v>7346</v>
      </c>
      <c r="E29" s="26">
        <v>8291</v>
      </c>
      <c r="F29" s="27">
        <v>11159</v>
      </c>
      <c r="G29" s="25" t="e">
        <f t="shared" si="39"/>
        <v>#REF!</v>
      </c>
      <c r="H29" s="26">
        <f t="shared" ref="H29:I29" si="67">E29/B29</f>
        <v>1.1548962251009891</v>
      </c>
      <c r="I29" s="27">
        <f t="shared" si="67"/>
        <v>1.6351333134051917</v>
      </c>
      <c r="J29" s="60"/>
      <c r="K29" s="29">
        <v>2001</v>
      </c>
      <c r="L29" s="30">
        <f t="shared" si="41"/>
        <v>11159</v>
      </c>
      <c r="M29" s="30">
        <f t="shared" si="42"/>
        <v>11159</v>
      </c>
      <c r="N29" s="30">
        <f t="shared" si="64"/>
        <v>11716.95</v>
      </c>
      <c r="O29" s="30">
        <f t="shared" ref="O29:P29" si="68">N29</f>
        <v>11716.95</v>
      </c>
      <c r="P29" s="30">
        <f t="shared" si="68"/>
        <v>11716.95</v>
      </c>
      <c r="Q29" s="30">
        <f t="shared" si="66"/>
        <v>12302.797500000001</v>
      </c>
      <c r="R29" s="30">
        <f t="shared" si="46"/>
        <v>12302.797500000001</v>
      </c>
    </row>
    <row r="30" spans="1:18" ht="18" customHeight="1">
      <c r="A30" s="59" t="s">
        <v>36</v>
      </c>
      <c r="B30" s="23">
        <v>2325</v>
      </c>
      <c r="C30" s="64">
        <v>6115</v>
      </c>
      <c r="D30" s="25">
        <v>0</v>
      </c>
      <c r="E30" s="26">
        <v>2323</v>
      </c>
      <c r="F30" s="27">
        <v>1064</v>
      </c>
      <c r="G30" s="25" t="e">
        <f t="shared" si="39"/>
        <v>#REF!</v>
      </c>
      <c r="H30" s="26">
        <f t="shared" ref="H30:I30" si="69">E30/B30</f>
        <v>0.99913978494623656</v>
      </c>
      <c r="I30" s="27">
        <f t="shared" si="69"/>
        <v>0.1739983646770237</v>
      </c>
      <c r="J30" s="60"/>
      <c r="K30" s="29">
        <v>2019</v>
      </c>
      <c r="L30" s="30">
        <f t="shared" si="41"/>
        <v>1064</v>
      </c>
      <c r="M30" s="30">
        <f t="shared" si="42"/>
        <v>1064</v>
      </c>
      <c r="N30" s="30">
        <f t="shared" si="64"/>
        <v>1117.2</v>
      </c>
      <c r="O30" s="30">
        <f t="shared" ref="O30:P30" si="70">N30</f>
        <v>1117.2</v>
      </c>
      <c r="P30" s="30">
        <f t="shared" si="70"/>
        <v>1117.2</v>
      </c>
      <c r="Q30" s="30">
        <f t="shared" si="66"/>
        <v>1173.0600000000002</v>
      </c>
      <c r="R30" s="30">
        <f t="shared" si="46"/>
        <v>1173.0600000000002</v>
      </c>
    </row>
    <row r="31" spans="1:18" ht="18" customHeight="1">
      <c r="A31" s="65" t="s">
        <v>37</v>
      </c>
      <c r="B31" s="23">
        <v>13610</v>
      </c>
      <c r="C31" s="64">
        <f>13573*0.91</f>
        <v>12351.43</v>
      </c>
      <c r="D31" s="66" t="s">
        <v>38</v>
      </c>
      <c r="E31" s="26">
        <v>2505</v>
      </c>
      <c r="F31" s="27">
        <v>10190</v>
      </c>
      <c r="G31" s="66" t="s">
        <v>38</v>
      </c>
      <c r="H31" s="26">
        <f t="shared" ref="H31:I31" si="71">E31/B31</f>
        <v>0.18405584129316679</v>
      </c>
      <c r="I31" s="27">
        <f t="shared" si="71"/>
        <v>0.82500568760054505</v>
      </c>
      <c r="J31" s="60"/>
      <c r="K31" s="29">
        <v>2019</v>
      </c>
      <c r="L31" s="30">
        <f t="shared" si="41"/>
        <v>10190</v>
      </c>
      <c r="M31" s="30">
        <f t="shared" si="42"/>
        <v>10190</v>
      </c>
      <c r="N31" s="30">
        <f t="shared" si="64"/>
        <v>10699.5</v>
      </c>
      <c r="O31" s="30">
        <f t="shared" ref="O31:P31" si="72">N31</f>
        <v>10699.5</v>
      </c>
      <c r="P31" s="30">
        <f t="shared" si="72"/>
        <v>10699.5</v>
      </c>
      <c r="Q31" s="30">
        <f t="shared" si="66"/>
        <v>11234.475</v>
      </c>
      <c r="R31" s="30">
        <f t="shared" si="46"/>
        <v>11234.475</v>
      </c>
    </row>
    <row r="32" spans="1:18" ht="18" customHeight="1">
      <c r="A32" s="59" t="s">
        <v>39</v>
      </c>
      <c r="B32" s="23">
        <v>7117</v>
      </c>
      <c r="C32" s="64">
        <f>7277*0.98</f>
        <v>7131.46</v>
      </c>
      <c r="D32" s="66" t="s">
        <v>38</v>
      </c>
      <c r="E32" s="26">
        <v>90</v>
      </c>
      <c r="F32" s="27">
        <v>5200</v>
      </c>
      <c r="G32" s="66" t="s">
        <v>38</v>
      </c>
      <c r="H32" s="26">
        <f t="shared" ref="H32:I32" si="73">E32/B32</f>
        <v>1.2645777715329492E-2</v>
      </c>
      <c r="I32" s="27">
        <f t="shared" si="73"/>
        <v>0.72916345320593534</v>
      </c>
      <c r="J32" s="60"/>
      <c r="K32" s="29" t="s">
        <v>40</v>
      </c>
      <c r="L32" s="30">
        <f t="shared" si="41"/>
        <v>5200</v>
      </c>
      <c r="M32" s="30">
        <f t="shared" si="42"/>
        <v>5200</v>
      </c>
      <c r="N32" s="30">
        <f t="shared" si="64"/>
        <v>5460</v>
      </c>
      <c r="O32" s="30">
        <f t="shared" ref="O32:P32" si="74">N32</f>
        <v>5460</v>
      </c>
      <c r="P32" s="30">
        <f t="shared" si="74"/>
        <v>5460</v>
      </c>
      <c r="Q32" s="30">
        <f t="shared" si="66"/>
        <v>5733</v>
      </c>
      <c r="R32" s="30">
        <f t="shared" si="46"/>
        <v>5733</v>
      </c>
    </row>
    <row r="33" spans="1:22" ht="18" customHeight="1">
      <c r="A33" s="67" t="s">
        <v>41</v>
      </c>
      <c r="B33" s="68" t="s">
        <v>38</v>
      </c>
      <c r="C33" s="69">
        <f>17802*0.7</f>
        <v>12461.4</v>
      </c>
      <c r="D33" s="70" t="s">
        <v>38</v>
      </c>
      <c r="E33" s="71" t="s">
        <v>38</v>
      </c>
      <c r="F33" s="38">
        <v>5314</v>
      </c>
      <c r="G33" s="70" t="s">
        <v>38</v>
      </c>
      <c r="H33" s="71" t="s">
        <v>38</v>
      </c>
      <c r="I33" s="27">
        <f>F33/C33</f>
        <v>0.42643683695250933</v>
      </c>
      <c r="J33" s="72"/>
      <c r="K33" s="29">
        <v>2020</v>
      </c>
      <c r="L33" s="30">
        <f t="shared" si="41"/>
        <v>5314</v>
      </c>
      <c r="M33" s="30">
        <f t="shared" si="42"/>
        <v>5314</v>
      </c>
      <c r="N33" s="30">
        <f>M33*(1+10%)</f>
        <v>5845.4000000000005</v>
      </c>
      <c r="O33" s="30">
        <f t="shared" ref="O33:P33" si="75">N33</f>
        <v>5845.4000000000005</v>
      </c>
      <c r="P33" s="30">
        <f t="shared" si="75"/>
        <v>5845.4000000000005</v>
      </c>
      <c r="Q33" s="30">
        <f>P33*(1+10%)</f>
        <v>6429.9400000000014</v>
      </c>
      <c r="R33" s="30">
        <f t="shared" si="46"/>
        <v>6429.9400000000014</v>
      </c>
      <c r="V33" s="73"/>
    </row>
    <row r="34" spans="1:22" ht="18" customHeight="1">
      <c r="A34" s="40" t="s">
        <v>17</v>
      </c>
      <c r="B34" s="41">
        <f>SUM(B20:B32)</f>
        <v>121374</v>
      </c>
      <c r="C34" s="42">
        <f>SUM(C20:C33)</f>
        <v>139817.20000000001</v>
      </c>
      <c r="D34" s="43">
        <f>SUM(D20:D30)</f>
        <v>91846</v>
      </c>
      <c r="E34" s="44">
        <f>SUM(E20:E32)</f>
        <v>97995</v>
      </c>
      <c r="F34" s="44">
        <f>SUM(F20:F33)</f>
        <v>117580</v>
      </c>
      <c r="G34" s="43" t="e">
        <f>D34/#REF!</f>
        <v>#REF!</v>
      </c>
      <c r="H34" s="43">
        <f t="shared" ref="H34:I34" si="76">E34/B34</f>
        <v>0.8073804933511296</v>
      </c>
      <c r="I34" s="44">
        <f t="shared" si="76"/>
        <v>0.8409551900624529</v>
      </c>
      <c r="J34" s="74"/>
      <c r="L34" s="46">
        <f t="shared" ref="L34:R34" si="77">SUM(L20:L33)</f>
        <v>117580</v>
      </c>
      <c r="M34" s="46">
        <f t="shared" si="77"/>
        <v>117580</v>
      </c>
      <c r="N34" s="46">
        <f t="shared" si="77"/>
        <v>124436.35000000002</v>
      </c>
      <c r="O34" s="46">
        <f t="shared" si="77"/>
        <v>124436.35000000002</v>
      </c>
      <c r="P34" s="46">
        <f t="shared" si="77"/>
        <v>124436.35000000002</v>
      </c>
      <c r="Q34" s="46">
        <f t="shared" si="77"/>
        <v>131733.2525</v>
      </c>
      <c r="R34" s="46">
        <f t="shared" si="77"/>
        <v>131733.2525</v>
      </c>
    </row>
    <row r="35" spans="1:22" ht="15.75" customHeight="1">
      <c r="A35" s="75"/>
      <c r="B35" s="76"/>
      <c r="C35" s="77"/>
      <c r="D35" s="76"/>
      <c r="E35" s="76"/>
      <c r="F35" s="76"/>
      <c r="G35" s="76"/>
      <c r="H35" s="76"/>
      <c r="I35" s="76"/>
      <c r="J35" s="76"/>
    </row>
    <row r="36" spans="1:22" ht="18" customHeight="1">
      <c r="A36" s="78" t="s">
        <v>42</v>
      </c>
      <c r="B36" s="79"/>
      <c r="C36" s="80"/>
      <c r="D36" s="81"/>
      <c r="E36" s="79"/>
      <c r="F36" s="79"/>
      <c r="G36" s="81"/>
      <c r="H36" s="81"/>
      <c r="I36" s="81"/>
      <c r="J36" s="82"/>
    </row>
    <row r="37" spans="1:22" ht="18" customHeight="1">
      <c r="A37" s="83" t="s">
        <v>43</v>
      </c>
      <c r="B37" s="84">
        <v>35603</v>
      </c>
      <c r="C37" s="85">
        <v>35603</v>
      </c>
      <c r="D37" s="86" t="s">
        <v>38</v>
      </c>
      <c r="E37" s="37">
        <v>14640</v>
      </c>
      <c r="F37" s="87">
        <v>14997</v>
      </c>
      <c r="G37" s="88" t="s">
        <v>38</v>
      </c>
      <c r="H37" s="89">
        <v>0.41</v>
      </c>
      <c r="I37" s="34">
        <v>0.42</v>
      </c>
      <c r="J37" s="90"/>
      <c r="K37" s="91" t="s">
        <v>40</v>
      </c>
      <c r="L37" s="30">
        <f>I37*(1+3%)*C37</f>
        <v>15401.8578</v>
      </c>
      <c r="M37" s="30">
        <f t="shared" ref="M37:N37" si="78">L37</f>
        <v>15401.8578</v>
      </c>
      <c r="N37" s="30">
        <f t="shared" si="78"/>
        <v>15401.8578</v>
      </c>
      <c r="O37" s="30">
        <f>L37*(1+3%)</f>
        <v>15863.913533999999</v>
      </c>
      <c r="P37" s="30">
        <f t="shared" ref="P37:Q37" si="79">O37</f>
        <v>15863.913533999999</v>
      </c>
      <c r="Q37" s="30">
        <f t="shared" si="79"/>
        <v>15863.913533999999</v>
      </c>
      <c r="R37" s="30">
        <f>O37*(1+3%)</f>
        <v>16339.83094002</v>
      </c>
    </row>
    <row r="38" spans="1:22" ht="18" customHeight="1">
      <c r="A38" s="92" t="s">
        <v>17</v>
      </c>
      <c r="B38" s="93">
        <v>35603</v>
      </c>
      <c r="C38" s="94">
        <v>35603</v>
      </c>
      <c r="D38" s="95" t="s">
        <v>38</v>
      </c>
      <c r="E38" s="96">
        <v>14640</v>
      </c>
      <c r="F38" s="96">
        <v>14997</v>
      </c>
      <c r="G38" s="95" t="s">
        <v>38</v>
      </c>
      <c r="H38" s="97">
        <v>0.41</v>
      </c>
      <c r="I38" s="97">
        <v>0.42</v>
      </c>
      <c r="J38" s="98"/>
      <c r="K38" s="29" t="s">
        <v>44</v>
      </c>
      <c r="L38" s="46">
        <f t="shared" ref="L38:R38" si="80">SUM(L11,L17,L34,L37)</f>
        <v>263681.6778</v>
      </c>
      <c r="M38" s="46">
        <f t="shared" si="80"/>
        <v>263681.6778</v>
      </c>
      <c r="N38" s="46">
        <f t="shared" si="80"/>
        <v>277407.66880000004</v>
      </c>
      <c r="O38" s="46">
        <f t="shared" si="80"/>
        <v>277869.72453400004</v>
      </c>
      <c r="P38" s="46">
        <f t="shared" si="80"/>
        <v>277869.72453400004</v>
      </c>
      <c r="Q38" s="46">
        <f t="shared" si="80"/>
        <v>292413.21508400002</v>
      </c>
      <c r="R38" s="46">
        <f t="shared" si="80"/>
        <v>292889.13249002001</v>
      </c>
    </row>
    <row r="39" spans="1:22" ht="15.75" customHeight="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9" t="s">
        <v>45</v>
      </c>
      <c r="L39" s="46">
        <f t="shared" ref="L39:R39" si="81">L38+L38*0.02</f>
        <v>268955.31135600002</v>
      </c>
      <c r="M39" s="46">
        <f t="shared" si="81"/>
        <v>268955.31135600002</v>
      </c>
      <c r="N39" s="46">
        <f t="shared" si="81"/>
        <v>282955.82217600005</v>
      </c>
      <c r="O39" s="46">
        <f t="shared" si="81"/>
        <v>283427.11902468005</v>
      </c>
      <c r="P39" s="46">
        <f t="shared" si="81"/>
        <v>283427.11902468005</v>
      </c>
      <c r="Q39" s="46">
        <f t="shared" si="81"/>
        <v>298261.47938568005</v>
      </c>
      <c r="R39" s="46">
        <f t="shared" si="81"/>
        <v>298746.91513982043</v>
      </c>
    </row>
    <row r="40" spans="1:22" ht="15.75" customHeight="1">
      <c r="A40" s="99" t="s">
        <v>46</v>
      </c>
      <c r="B40" s="100" t="s">
        <v>38</v>
      </c>
      <c r="C40" s="21"/>
      <c r="D40" s="29">
        <v>28000</v>
      </c>
      <c r="E40" s="100" t="s">
        <v>47</v>
      </c>
      <c r="F40" s="29">
        <v>50000</v>
      </c>
      <c r="G40" s="100" t="s">
        <v>38</v>
      </c>
      <c r="H40" s="100" t="s">
        <v>38</v>
      </c>
      <c r="I40" s="21">
        <f>F40/D40</f>
        <v>1.7857142857142858</v>
      </c>
      <c r="J40" s="101"/>
      <c r="K40" s="21"/>
      <c r="L40" s="102">
        <v>50000</v>
      </c>
      <c r="M40" s="102">
        <v>50000</v>
      </c>
      <c r="N40" s="102">
        <v>50000</v>
      </c>
      <c r="O40" s="102">
        <v>50000</v>
      </c>
      <c r="P40" s="102">
        <v>50000</v>
      </c>
      <c r="Q40" s="102">
        <v>50000</v>
      </c>
      <c r="R40" s="102">
        <v>50000</v>
      </c>
    </row>
    <row r="41" spans="1:22" ht="15.75" customHeight="1">
      <c r="A41" s="103" t="s">
        <v>48</v>
      </c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102">
        <v>5000</v>
      </c>
      <c r="M41" s="102">
        <v>10000</v>
      </c>
      <c r="N41" s="102">
        <v>15000</v>
      </c>
      <c r="O41" s="102">
        <v>20000</v>
      </c>
      <c r="P41" s="102">
        <v>30000</v>
      </c>
      <c r="Q41" s="102">
        <v>40000</v>
      </c>
      <c r="R41" s="102">
        <f>40800</f>
        <v>40800</v>
      </c>
    </row>
    <row r="42" spans="1:22" ht="15.75" customHeight="1">
      <c r="A42" s="29" t="s">
        <v>49</v>
      </c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9">
        <v>0</v>
      </c>
      <c r="M42" s="104">
        <f>(6000*0.8+1000*2.7)*M43</f>
        <v>1500</v>
      </c>
      <c r="N42" s="104">
        <f>M42*(1+M43)</f>
        <v>1800</v>
      </c>
      <c r="O42" s="104">
        <f>N42*(1+M43)</f>
        <v>2160</v>
      </c>
      <c r="P42" s="104">
        <f>O42*(1+M43)*(1+5%)</f>
        <v>2721.6</v>
      </c>
      <c r="Q42" s="104">
        <f>P42*(1+M43)</f>
        <v>3265.9199999999996</v>
      </c>
      <c r="R42" s="104">
        <f>Q42</f>
        <v>3265.9199999999996</v>
      </c>
    </row>
    <row r="43" spans="1:22" ht="15.75" customHeight="1">
      <c r="A43" s="105"/>
      <c r="B43" s="106"/>
      <c r="C43" s="106"/>
      <c r="D43" s="7"/>
      <c r="E43" s="7"/>
      <c r="F43" s="7"/>
      <c r="G43" s="106"/>
      <c r="H43" s="106"/>
      <c r="I43" s="106"/>
      <c r="J43" s="106"/>
      <c r="K43" s="106"/>
      <c r="L43" s="106"/>
      <c r="M43" s="107">
        <v>0.2</v>
      </c>
      <c r="N43" s="107"/>
      <c r="O43" s="107"/>
      <c r="P43" s="107"/>
      <c r="Q43" s="104"/>
      <c r="R43" s="107"/>
    </row>
    <row r="44" spans="1:22" ht="15.75" customHeight="1">
      <c r="A44" s="29" t="s">
        <v>50</v>
      </c>
      <c r="B44" s="21"/>
      <c r="C44" s="21"/>
      <c r="D44" s="29">
        <v>2389</v>
      </c>
      <c r="E44" s="29">
        <v>2807</v>
      </c>
      <c r="F44" s="29">
        <v>2103</v>
      </c>
      <c r="G44" s="21"/>
      <c r="H44" s="21"/>
      <c r="I44" s="21"/>
      <c r="J44" s="21"/>
      <c r="K44" s="21"/>
      <c r="L44" s="30">
        <f t="shared" ref="L44:R44" si="82">2103*1.02</f>
        <v>2145.06</v>
      </c>
      <c r="M44" s="30">
        <f t="shared" si="82"/>
        <v>2145.06</v>
      </c>
      <c r="N44" s="30">
        <f t="shared" si="82"/>
        <v>2145.06</v>
      </c>
      <c r="O44" s="30">
        <f t="shared" si="82"/>
        <v>2145.06</v>
      </c>
      <c r="P44" s="30">
        <f t="shared" si="82"/>
        <v>2145.06</v>
      </c>
      <c r="Q44" s="30">
        <f t="shared" si="82"/>
        <v>2145.06</v>
      </c>
      <c r="R44" s="30">
        <f t="shared" si="82"/>
        <v>2145.06</v>
      </c>
    </row>
    <row r="45" spans="1:22" ht="15.75" customHeight="1">
      <c r="A45" s="108" t="s">
        <v>51</v>
      </c>
      <c r="B45" s="109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</row>
    <row r="46" spans="1:22" ht="15.75" customHeight="1">
      <c r="A46" s="29" t="s">
        <v>52</v>
      </c>
      <c r="B46" s="21"/>
      <c r="C46" s="21"/>
      <c r="D46" s="110">
        <v>16289</v>
      </c>
      <c r="E46" s="111">
        <v>17979</v>
      </c>
      <c r="F46" s="111">
        <v>6216</v>
      </c>
      <c r="G46" s="21"/>
      <c r="H46" s="21"/>
      <c r="I46" s="21"/>
      <c r="J46" s="21"/>
      <c r="K46" s="21"/>
      <c r="L46" s="30">
        <f>E46*(1+10%)</f>
        <v>19776.900000000001</v>
      </c>
      <c r="M46" s="30">
        <f t="shared" ref="M46:R46" si="83">L46*(1+10%)</f>
        <v>21754.590000000004</v>
      </c>
      <c r="N46" s="30">
        <f t="shared" si="83"/>
        <v>23930.049000000006</v>
      </c>
      <c r="O46" s="30">
        <f t="shared" si="83"/>
        <v>26323.05390000001</v>
      </c>
      <c r="P46" s="30">
        <f t="shared" si="83"/>
        <v>28955.359290000015</v>
      </c>
      <c r="Q46" s="30">
        <f t="shared" si="83"/>
        <v>31850.89521900002</v>
      </c>
      <c r="R46" s="30">
        <f t="shared" si="83"/>
        <v>35035.984740900021</v>
      </c>
    </row>
    <row r="47" spans="1:22" ht="15.75" customHeight="1">
      <c r="A47" s="29" t="s">
        <v>53</v>
      </c>
      <c r="B47" s="21"/>
      <c r="C47" s="21"/>
      <c r="D47" s="29">
        <v>0</v>
      </c>
      <c r="E47" s="29">
        <v>149</v>
      </c>
      <c r="F47" s="29">
        <v>149</v>
      </c>
      <c r="G47" s="21"/>
      <c r="H47" s="21"/>
      <c r="I47" s="21"/>
      <c r="J47" s="21"/>
      <c r="K47" s="21"/>
      <c r="L47" s="29">
        <v>149</v>
      </c>
      <c r="M47" s="29">
        <v>149</v>
      </c>
      <c r="N47" s="29">
        <v>149</v>
      </c>
      <c r="O47" s="29">
        <v>149</v>
      </c>
      <c r="P47" s="29">
        <v>149</v>
      </c>
      <c r="Q47" s="29">
        <v>149</v>
      </c>
      <c r="R47" s="29">
        <v>149</v>
      </c>
    </row>
    <row r="48" spans="1:22" ht="15.75" customHeight="1">
      <c r="A48" s="112" t="s">
        <v>17</v>
      </c>
      <c r="B48" s="113"/>
      <c r="C48" s="113"/>
      <c r="D48" s="113"/>
      <c r="E48" s="114">
        <f>SUM(E11,E17,E34,E38,E44,E46,E47)</f>
        <v>287570</v>
      </c>
      <c r="F48" s="113"/>
      <c r="G48" s="113"/>
      <c r="H48" s="113"/>
      <c r="I48" s="113"/>
      <c r="J48" s="113"/>
      <c r="K48" s="113"/>
      <c r="L48" s="114">
        <f t="shared" ref="L48:R48" si="84">L39+L40+L41+L42+L44+L46+L47</f>
        <v>346026.27135600004</v>
      </c>
      <c r="M48" s="114">
        <f t="shared" si="84"/>
        <v>354503.96135600004</v>
      </c>
      <c r="N48" s="114">
        <f t="shared" si="84"/>
        <v>375979.93117600004</v>
      </c>
      <c r="O48" s="114">
        <f t="shared" si="84"/>
        <v>384204.23292468005</v>
      </c>
      <c r="P48" s="114">
        <f t="shared" si="84"/>
        <v>397398.13831468002</v>
      </c>
      <c r="Q48" s="114">
        <f t="shared" si="84"/>
        <v>425672.35460468003</v>
      </c>
      <c r="R48" s="114">
        <f t="shared" si="84"/>
        <v>430142.8798807204</v>
      </c>
    </row>
    <row r="49" spans="1:19" ht="15.75" customHeight="1">
      <c r="A49" s="115"/>
    </row>
    <row r="50" spans="1:19" ht="15.75" customHeight="1">
      <c r="A50" s="116"/>
      <c r="B50" s="117"/>
      <c r="C50" s="117"/>
      <c r="D50" s="117"/>
      <c r="E50" s="117"/>
      <c r="F50" s="117"/>
      <c r="G50" s="117"/>
      <c r="H50" s="117"/>
      <c r="I50" s="117"/>
      <c r="J50" s="117"/>
      <c r="K50" s="116" t="s">
        <v>54</v>
      </c>
      <c r="L50" s="117"/>
      <c r="M50" s="117"/>
      <c r="N50" s="117"/>
      <c r="O50" s="117"/>
      <c r="P50" s="117"/>
      <c r="Q50" s="117"/>
      <c r="R50" s="117"/>
    </row>
    <row r="51" spans="1:19" ht="15.75" customHeight="1">
      <c r="K51" s="115" t="s">
        <v>55</v>
      </c>
      <c r="L51" s="118">
        <f t="shared" ref="L51:R51" si="85">L48*0.19</f>
        <v>65744.991557640009</v>
      </c>
      <c r="M51" s="118">
        <f t="shared" si="85"/>
        <v>67355.752657640012</v>
      </c>
      <c r="N51" s="118">
        <f t="shared" si="85"/>
        <v>71436.186923440007</v>
      </c>
      <c r="O51" s="118">
        <f t="shared" si="85"/>
        <v>72998.804255689203</v>
      </c>
      <c r="P51" s="118">
        <f t="shared" si="85"/>
        <v>75505.646279789202</v>
      </c>
      <c r="Q51" s="118">
        <f t="shared" si="85"/>
        <v>80877.747374889208</v>
      </c>
      <c r="R51" s="118">
        <f t="shared" si="85"/>
        <v>81727.147177336883</v>
      </c>
    </row>
    <row r="52" spans="1:19" ht="15.75" customHeight="1">
      <c r="K52" s="115" t="s">
        <v>56</v>
      </c>
      <c r="L52" s="118">
        <f t="shared" ref="L52:R52" si="86">L48*0.06</f>
        <v>20761.576281360001</v>
      </c>
      <c r="M52" s="118">
        <f t="shared" si="86"/>
        <v>21270.237681360002</v>
      </c>
      <c r="N52" s="118">
        <f t="shared" si="86"/>
        <v>22558.795870560003</v>
      </c>
      <c r="O52" s="118">
        <f t="shared" si="86"/>
        <v>23052.253975480802</v>
      </c>
      <c r="P52" s="118">
        <f t="shared" si="86"/>
        <v>23843.8882988808</v>
      </c>
      <c r="Q52" s="118">
        <f t="shared" si="86"/>
        <v>25540.3412762808</v>
      </c>
      <c r="R52" s="118">
        <f t="shared" si="86"/>
        <v>25808.572792843224</v>
      </c>
    </row>
    <row r="53" spans="1:19" ht="15.75" customHeight="1">
      <c r="K53" s="115" t="s">
        <v>57</v>
      </c>
      <c r="L53" s="118">
        <f t="shared" ref="L53:R53" si="87">L48*0.02</f>
        <v>6920.525427120001</v>
      </c>
      <c r="M53" s="118">
        <f t="shared" si="87"/>
        <v>7090.0792271200007</v>
      </c>
      <c r="N53" s="118">
        <f t="shared" si="87"/>
        <v>7519.5986235200007</v>
      </c>
      <c r="O53" s="118">
        <f t="shared" si="87"/>
        <v>7684.0846584936007</v>
      </c>
      <c r="P53" s="118">
        <f t="shared" si="87"/>
        <v>7947.9627662936009</v>
      </c>
      <c r="Q53" s="118">
        <f t="shared" si="87"/>
        <v>8513.4470920936001</v>
      </c>
      <c r="R53" s="118">
        <f t="shared" si="87"/>
        <v>8602.8575976144075</v>
      </c>
    </row>
    <row r="54" spans="1:19" ht="15.75" customHeight="1">
      <c r="K54" s="115" t="s">
        <v>58</v>
      </c>
      <c r="L54" s="118">
        <f t="shared" ref="L54:R54" si="88">L48*0.01</f>
        <v>3460.2627135600005</v>
      </c>
      <c r="M54" s="118">
        <f t="shared" si="88"/>
        <v>3545.0396135600004</v>
      </c>
      <c r="N54" s="118">
        <f t="shared" si="88"/>
        <v>3759.7993117600004</v>
      </c>
      <c r="O54" s="118">
        <f t="shared" si="88"/>
        <v>3842.0423292468004</v>
      </c>
      <c r="P54" s="118">
        <f t="shared" si="88"/>
        <v>3973.9813831468005</v>
      </c>
      <c r="Q54" s="118">
        <f t="shared" si="88"/>
        <v>4256.7235460468</v>
      </c>
      <c r="R54" s="118">
        <f t="shared" si="88"/>
        <v>4301.4287988072037</v>
      </c>
    </row>
    <row r="55" spans="1:19" ht="15.75" customHeight="1">
      <c r="K55" s="115" t="s">
        <v>17</v>
      </c>
      <c r="L55" s="118">
        <f t="shared" ref="L55:R55" si="89">SUM(L51:L54)</f>
        <v>96887.355979680011</v>
      </c>
      <c r="M55" s="118">
        <f t="shared" si="89"/>
        <v>99261.109179680017</v>
      </c>
      <c r="N55" s="118">
        <f t="shared" si="89"/>
        <v>105274.38072928</v>
      </c>
      <c r="O55" s="118">
        <f t="shared" si="89"/>
        <v>107577.18521891041</v>
      </c>
      <c r="P55" s="118">
        <f t="shared" si="89"/>
        <v>111271.47872811041</v>
      </c>
      <c r="Q55" s="118">
        <f t="shared" si="89"/>
        <v>119188.2592893104</v>
      </c>
      <c r="R55" s="118">
        <f t="shared" si="89"/>
        <v>120440.00636660171</v>
      </c>
    </row>
    <row r="56" spans="1:19" ht="15.75" customHeight="1">
      <c r="A56" s="119"/>
      <c r="B56" s="120"/>
      <c r="C56" s="120"/>
      <c r="D56" s="120"/>
      <c r="E56" s="120"/>
      <c r="F56" s="120"/>
      <c r="G56" s="120"/>
      <c r="H56" s="120"/>
      <c r="I56" s="120"/>
      <c r="J56" s="120"/>
      <c r="K56" s="119" t="s">
        <v>59</v>
      </c>
      <c r="L56" s="121">
        <f t="shared" ref="L56:R56" si="90">L48-L55</f>
        <v>249138.91537632002</v>
      </c>
      <c r="M56" s="121">
        <f t="shared" si="90"/>
        <v>255242.85217632004</v>
      </c>
      <c r="N56" s="121">
        <f t="shared" si="90"/>
        <v>270705.55044672004</v>
      </c>
      <c r="O56" s="121">
        <f t="shared" si="90"/>
        <v>276627.04770576966</v>
      </c>
      <c r="P56" s="121">
        <f t="shared" si="90"/>
        <v>286126.65958656964</v>
      </c>
      <c r="Q56" s="121">
        <f t="shared" si="90"/>
        <v>306484.09531536966</v>
      </c>
      <c r="R56" s="121">
        <f t="shared" si="90"/>
        <v>309702.87351411872</v>
      </c>
    </row>
    <row r="57" spans="1:19" ht="15.75" customHeight="1">
      <c r="K57" s="115" t="s">
        <v>60</v>
      </c>
      <c r="L57" s="122">
        <v>37874</v>
      </c>
      <c r="M57" s="122">
        <v>30905</v>
      </c>
      <c r="N57" s="122">
        <v>23201</v>
      </c>
      <c r="O57" s="122">
        <v>17686</v>
      </c>
      <c r="P57" s="122">
        <v>12574</v>
      </c>
      <c r="Q57" s="122">
        <v>3299</v>
      </c>
      <c r="R57" s="122">
        <v>456</v>
      </c>
      <c r="S57" s="122"/>
    </row>
    <row r="58" spans="1:19" ht="15.75" customHeight="1">
      <c r="K58" s="115" t="s">
        <v>61</v>
      </c>
      <c r="L58" s="32">
        <f t="shared" ref="L58:R58" si="91">L56-L57</f>
        <v>211264.91537632002</v>
      </c>
      <c r="M58" s="32">
        <f t="shared" si="91"/>
        <v>224337.85217632004</v>
      </c>
      <c r="N58" s="32">
        <f t="shared" si="91"/>
        <v>247504.55044672004</v>
      </c>
      <c r="O58" s="32">
        <f t="shared" si="91"/>
        <v>258941.04770576966</v>
      </c>
      <c r="P58" s="32">
        <f t="shared" si="91"/>
        <v>273552.65958656964</v>
      </c>
      <c r="Q58" s="32">
        <f t="shared" si="91"/>
        <v>303185.09531536966</v>
      </c>
      <c r="R58" s="32">
        <f t="shared" si="91"/>
        <v>309246.87351411872</v>
      </c>
    </row>
    <row r="59" spans="1:19" ht="15.75" customHeight="1">
      <c r="B59" s="103" t="s">
        <v>62</v>
      </c>
      <c r="C59" s="123">
        <v>2.3199999999999998E-2</v>
      </c>
      <c r="E59" s="103" t="s">
        <v>63</v>
      </c>
      <c r="F59" s="123">
        <v>6.2300000000000001E-2</v>
      </c>
      <c r="K59" s="115" t="s">
        <v>64</v>
      </c>
      <c r="L59" s="32">
        <f t="shared" ref="L59:R59" si="92">L58*0.31</f>
        <v>65492.123766659206</v>
      </c>
      <c r="M59" s="32">
        <f t="shared" si="92"/>
        <v>69544.734174659214</v>
      </c>
      <c r="N59" s="32">
        <f t="shared" si="92"/>
        <v>76726.410638483212</v>
      </c>
      <c r="O59" s="32">
        <f t="shared" si="92"/>
        <v>80271.72478878859</v>
      </c>
      <c r="P59" s="32">
        <f t="shared" si="92"/>
        <v>84801.32447183659</v>
      </c>
      <c r="Q59" s="32">
        <f t="shared" si="92"/>
        <v>93987.379547764591</v>
      </c>
      <c r="R59" s="32">
        <f t="shared" si="92"/>
        <v>95866.530789376804</v>
      </c>
    </row>
    <row r="60" spans="1:19" ht="15.75" customHeight="1">
      <c r="A60" s="115"/>
      <c r="D60" s="124"/>
      <c r="K60" s="115" t="s">
        <v>65</v>
      </c>
      <c r="L60" s="32">
        <f t="shared" ref="L60:R60" si="93">L58-L59</f>
        <v>145772.79160966081</v>
      </c>
      <c r="M60" s="32">
        <f t="shared" si="93"/>
        <v>154793.11800166083</v>
      </c>
      <c r="N60" s="32">
        <f t="shared" si="93"/>
        <v>170778.13980823683</v>
      </c>
      <c r="O60" s="32">
        <f t="shared" si="93"/>
        <v>178669.32291698107</v>
      </c>
      <c r="P60" s="32">
        <f t="shared" si="93"/>
        <v>188751.33511473305</v>
      </c>
      <c r="Q60" s="32">
        <f t="shared" si="93"/>
        <v>209197.71576760506</v>
      </c>
      <c r="R60" s="32">
        <f t="shared" si="93"/>
        <v>213380.3427247419</v>
      </c>
    </row>
    <row r="61" spans="1:19" ht="15.75" customHeight="1">
      <c r="D61" s="103" t="s">
        <v>66</v>
      </c>
      <c r="E61" s="103" t="s">
        <v>67</v>
      </c>
      <c r="G61" s="115" t="s">
        <v>68</v>
      </c>
      <c r="H61" s="118">
        <f>(1686715+298222)/(B75*0.415)</f>
        <v>0.4492840707810376</v>
      </c>
      <c r="K61" s="115" t="s">
        <v>69</v>
      </c>
      <c r="L61" s="32">
        <f t="shared" ref="L61:R61" si="94">L60*0.85</f>
        <v>123906.87286821168</v>
      </c>
      <c r="M61" s="32">
        <f t="shared" si="94"/>
        <v>131574.15030141169</v>
      </c>
      <c r="N61" s="32">
        <f t="shared" si="94"/>
        <v>145161.41883700129</v>
      </c>
      <c r="O61" s="32">
        <f t="shared" si="94"/>
        <v>151868.92447943389</v>
      </c>
      <c r="P61" s="32">
        <f t="shared" si="94"/>
        <v>160438.63484752309</v>
      </c>
      <c r="Q61" s="32">
        <f t="shared" si="94"/>
        <v>177818.05840246429</v>
      </c>
      <c r="R61" s="32">
        <f t="shared" si="94"/>
        <v>181373.29131603061</v>
      </c>
    </row>
    <row r="62" spans="1:19" ht="15.75" customHeight="1">
      <c r="A62" s="115"/>
      <c r="B62" s="29" t="s">
        <v>70</v>
      </c>
      <c r="C62" s="29">
        <v>0.5</v>
      </c>
      <c r="D62" s="125">
        <f>C62*(1+(1-31%)*$H61)</f>
        <v>0.65500300441945791</v>
      </c>
      <c r="E62" s="126">
        <f t="shared" ref="E62:E64" si="95">2.32%+(D62*6.23%)</f>
        <v>6.4006687175332228E-2</v>
      </c>
    </row>
    <row r="63" spans="1:19" ht="15.75" customHeight="1">
      <c r="B63" s="29" t="s">
        <v>70</v>
      </c>
      <c r="C63" s="29">
        <v>0.4</v>
      </c>
      <c r="D63" s="125">
        <f>C63*(1+(1-31%)*$H61)</f>
        <v>0.52400240353556637</v>
      </c>
      <c r="E63" s="126">
        <f t="shared" si="95"/>
        <v>5.5845349740265782E-2</v>
      </c>
    </row>
    <row r="64" spans="1:19" ht="15.75" customHeight="1">
      <c r="B64" s="29" t="s">
        <v>70</v>
      </c>
      <c r="C64" s="29">
        <v>0.15</v>
      </c>
      <c r="D64" s="125">
        <f>C64*(1+(1-31%)*$H61)</f>
        <v>0.19650090132583736</v>
      </c>
      <c r="E64" s="126">
        <f t="shared" si="95"/>
        <v>3.5442006152599667E-2</v>
      </c>
    </row>
    <row r="65" spans="1:18" ht="15.75" customHeight="1"/>
    <row r="66" spans="1:18" ht="15.75" customHeight="1">
      <c r="A66" s="127" t="s">
        <v>71</v>
      </c>
    </row>
    <row r="67" spans="1:18" ht="15.75" customHeight="1">
      <c r="B67" s="12">
        <v>2022</v>
      </c>
      <c r="C67" s="12">
        <v>2023</v>
      </c>
      <c r="D67" s="12">
        <v>2024</v>
      </c>
      <c r="E67" s="12">
        <v>2025</v>
      </c>
      <c r="F67" s="13">
        <v>2026</v>
      </c>
      <c r="G67" s="13">
        <v>2027</v>
      </c>
    </row>
    <row r="68" spans="1:18" ht="15.75" customHeight="1">
      <c r="A68" s="115" t="s">
        <v>72</v>
      </c>
      <c r="B68" s="32">
        <f t="shared" ref="B68:G68" si="96">M61</f>
        <v>131574.15030141169</v>
      </c>
      <c r="C68" s="32">
        <f t="shared" si="96"/>
        <v>145161.41883700129</v>
      </c>
      <c r="D68" s="32">
        <f t="shared" si="96"/>
        <v>151868.92447943389</v>
      </c>
      <c r="E68" s="32">
        <f t="shared" si="96"/>
        <v>160438.63484752309</v>
      </c>
      <c r="F68" s="32">
        <f t="shared" si="96"/>
        <v>177818.05840246429</v>
      </c>
      <c r="G68" s="32">
        <f t="shared" si="96"/>
        <v>181373.29131603061</v>
      </c>
      <c r="H68" s="128"/>
      <c r="J68" s="32"/>
    </row>
    <row r="69" spans="1:18" ht="15.75" customHeight="1">
      <c r="A69" s="115" t="s">
        <v>73</v>
      </c>
      <c r="B69" s="118">
        <f>1/(1+$E62)</f>
        <v>0.93984371719950965</v>
      </c>
      <c r="C69" s="118">
        <f>1/(1+$E62)^2</f>
        <v>0.8833062127593917</v>
      </c>
      <c r="D69" s="118">
        <f>1/(1+$E62)^3</f>
        <v>0.83016979442520755</v>
      </c>
      <c r="E69" s="118">
        <f>1/(1+$E62)^4</f>
        <v>0.78022986549933981</v>
      </c>
      <c r="F69" s="118">
        <f>1/(1+$E62)^5</f>
        <v>0.73329413706097291</v>
      </c>
      <c r="G69" s="118">
        <f>1/(1+$E62)^6</f>
        <v>0.68918188757599141</v>
      </c>
    </row>
    <row r="70" spans="1:18" ht="15.75" customHeight="1">
      <c r="A70" s="115" t="s">
        <v>74</v>
      </c>
      <c r="B70" s="118">
        <f t="shared" ref="B70:G70" si="97">B68*B69</f>
        <v>123659.13850664574</v>
      </c>
      <c r="C70" s="118">
        <f t="shared" si="97"/>
        <v>128221.98311169143</v>
      </c>
      <c r="D70" s="118">
        <f t="shared" si="97"/>
        <v>126076.993814669</v>
      </c>
      <c r="E70" s="118">
        <f t="shared" si="97"/>
        <v>125179.01448798063</v>
      </c>
      <c r="F70" s="118">
        <f t="shared" si="97"/>
        <v>130392.93969009274</v>
      </c>
      <c r="G70" s="118">
        <f t="shared" si="97"/>
        <v>124999.18726505214</v>
      </c>
    </row>
    <row r="71" spans="1:18" ht="15.75" customHeight="1">
      <c r="A71" s="115" t="s">
        <v>75</v>
      </c>
      <c r="G71" s="118">
        <f>(G68*(1+0.02))/(E62-0.02)</f>
        <v>4203923.744708797</v>
      </c>
    </row>
    <row r="72" spans="1:18" ht="15.75" customHeight="1">
      <c r="A72" s="115" t="s">
        <v>76</v>
      </c>
      <c r="B72" s="118">
        <f>G71/(1+E62)^6</f>
        <v>2897268.1016039392</v>
      </c>
    </row>
    <row r="73" spans="1:18" ht="15.75" customHeight="1">
      <c r="A73" s="115" t="s">
        <v>77</v>
      </c>
      <c r="B73" s="118">
        <f>SUM(B70:G70)</f>
        <v>758529.25687613164</v>
      </c>
    </row>
    <row r="74" spans="1:18" ht="15.75" customHeight="1">
      <c r="A74" s="115" t="s">
        <v>78</v>
      </c>
      <c r="B74" s="129">
        <v>596000</v>
      </c>
    </row>
    <row r="75" spans="1:18" ht="15.75" customHeight="1">
      <c r="A75" s="130" t="s">
        <v>79</v>
      </c>
      <c r="B75" s="131">
        <v>10645783</v>
      </c>
      <c r="C75" s="76"/>
      <c r="D75" s="76"/>
      <c r="E75" s="76"/>
      <c r="F75" s="76"/>
      <c r="G75" s="76"/>
      <c r="H75" s="76"/>
      <c r="I75" s="76"/>
      <c r="J75" s="76"/>
    </row>
    <row r="76" spans="1:18" ht="15.75" customHeight="1">
      <c r="A76" s="29" t="s">
        <v>80</v>
      </c>
      <c r="B76" s="21">
        <f>SUM(B72:B74)/B75</f>
        <v>0.39938794154268131</v>
      </c>
    </row>
    <row r="77" spans="1:18" ht="15.75" customHeight="1">
      <c r="A77" s="115" t="s">
        <v>81</v>
      </c>
      <c r="B77" s="132">
        <f>B76*1000</f>
        <v>399.38794154268129</v>
      </c>
      <c r="C77" s="132"/>
      <c r="D77" s="132"/>
      <c r="E77" s="132"/>
      <c r="F77" s="132"/>
      <c r="G77" s="132"/>
    </row>
    <row r="78" spans="1:18" ht="15.75" customHeight="1">
      <c r="A78" s="133"/>
      <c r="B78" s="132"/>
      <c r="C78" s="132"/>
      <c r="D78" s="132"/>
      <c r="E78" s="132"/>
      <c r="F78" s="132"/>
      <c r="G78" s="132"/>
    </row>
    <row r="79" spans="1:18" ht="15.75" customHeight="1">
      <c r="A79" s="134" t="s">
        <v>82</v>
      </c>
      <c r="B79" s="32"/>
      <c r="C79" s="32"/>
      <c r="D79" s="32"/>
      <c r="E79" s="32"/>
      <c r="F79" s="32"/>
      <c r="G79" s="32"/>
      <c r="K79" s="135" t="s">
        <v>83</v>
      </c>
      <c r="L79" s="128">
        <f t="shared" ref="L79:R79" si="98">L56*0.64</f>
        <v>159448.90584084482</v>
      </c>
      <c r="M79" s="128">
        <f t="shared" si="98"/>
        <v>163355.42539284483</v>
      </c>
      <c r="N79" s="128">
        <f t="shared" si="98"/>
        <v>173251.55228590083</v>
      </c>
      <c r="O79" s="128">
        <f t="shared" si="98"/>
        <v>177041.31053169258</v>
      </c>
      <c r="P79" s="128">
        <f t="shared" si="98"/>
        <v>183121.06213540459</v>
      </c>
      <c r="Q79" s="128">
        <f t="shared" si="98"/>
        <v>196149.82100183659</v>
      </c>
      <c r="R79" s="128">
        <f t="shared" si="98"/>
        <v>198209.83904903597</v>
      </c>
    </row>
    <row r="80" spans="1:18" ht="15.75" customHeight="1">
      <c r="B80" s="12">
        <v>2022</v>
      </c>
      <c r="C80" s="12">
        <v>2023</v>
      </c>
      <c r="D80" s="12">
        <v>2024</v>
      </c>
      <c r="E80" s="12">
        <v>2025</v>
      </c>
      <c r="F80" s="13">
        <v>2026</v>
      </c>
      <c r="G80" s="13">
        <v>2027</v>
      </c>
      <c r="K80" s="135" t="s">
        <v>69</v>
      </c>
      <c r="L80" s="128">
        <f t="shared" ref="L80:R80" si="99">L79*0.85</f>
        <v>135531.5699647181</v>
      </c>
      <c r="M80" s="128">
        <f t="shared" si="99"/>
        <v>138852.1115839181</v>
      </c>
      <c r="N80" s="128">
        <f t="shared" si="99"/>
        <v>147263.8194430157</v>
      </c>
      <c r="O80" s="128">
        <f t="shared" si="99"/>
        <v>150485.11395193869</v>
      </c>
      <c r="P80" s="128">
        <f t="shared" si="99"/>
        <v>155652.9028150939</v>
      </c>
      <c r="Q80" s="128">
        <f t="shared" si="99"/>
        <v>166727.34785156109</v>
      </c>
      <c r="R80" s="128">
        <f t="shared" si="99"/>
        <v>168478.36319168058</v>
      </c>
    </row>
    <row r="81" spans="1:20" ht="15.75" customHeight="1">
      <c r="A81" s="115" t="s">
        <v>72</v>
      </c>
      <c r="B81" s="32">
        <f t="shared" ref="B81:G81" si="100">M61</f>
        <v>131574.15030141169</v>
      </c>
      <c r="C81" s="32">
        <f t="shared" si="100"/>
        <v>145161.41883700129</v>
      </c>
      <c r="D81" s="32">
        <f t="shared" si="100"/>
        <v>151868.92447943389</v>
      </c>
      <c r="E81" s="32">
        <f t="shared" si="100"/>
        <v>160438.63484752309</v>
      </c>
      <c r="F81" s="32">
        <f t="shared" si="100"/>
        <v>177818.05840246429</v>
      </c>
      <c r="G81" s="32">
        <f t="shared" si="100"/>
        <v>181373.29131603061</v>
      </c>
      <c r="K81" s="135" t="s">
        <v>84</v>
      </c>
      <c r="L81" s="136">
        <f t="shared" ref="L81:R81" si="101">(L80*10^3)/10645783</f>
        <v>12.731010012576633</v>
      </c>
      <c r="M81" s="136">
        <f t="shared" si="101"/>
        <v>13.042921463260907</v>
      </c>
      <c r="N81" s="136">
        <f t="shared" si="101"/>
        <v>13.833066054701256</v>
      </c>
      <c r="O81" s="136">
        <f t="shared" si="101"/>
        <v>14.135654836467989</v>
      </c>
      <c r="P81" s="136">
        <f t="shared" si="101"/>
        <v>14.621085439661311</v>
      </c>
      <c r="Q81" s="136">
        <f t="shared" si="101"/>
        <v>15.661351339921271</v>
      </c>
      <c r="R81" s="136">
        <f t="shared" si="101"/>
        <v>15.825831053636973</v>
      </c>
    </row>
    <row r="82" spans="1:20" ht="15.75" customHeight="1">
      <c r="A82" s="115" t="s">
        <v>73</v>
      </c>
      <c r="B82" s="118">
        <f>1/(1+$E64)</f>
        <v>0.96577113354296695</v>
      </c>
      <c r="C82" s="118">
        <f>1/(1+$E64)^2</f>
        <v>0.9327138823848673</v>
      </c>
      <c r="D82" s="118">
        <f>1/(1+$E64)^3</f>
        <v>0.9007881434620949</v>
      </c>
      <c r="E82" s="118">
        <f>1/(1+$E64)^4</f>
        <v>0.86995518639345226</v>
      </c>
      <c r="F82" s="118">
        <f>1/(1+$E64)^5</f>
        <v>0.84017760649478745</v>
      </c>
      <c r="G82" s="118">
        <f>1/(1+$E64)^6</f>
        <v>0.81141927940188785</v>
      </c>
    </row>
    <row r="83" spans="1:20" ht="15.75" customHeight="1">
      <c r="A83" s="115" t="s">
        <v>74</v>
      </c>
      <c r="B83" s="118">
        <f t="shared" ref="B83:G83" si="102">B81*B82</f>
        <v>127070.51628154707</v>
      </c>
      <c r="C83" s="118">
        <f t="shared" si="102"/>
        <v>135394.07053595528</v>
      </c>
      <c r="D83" s="118">
        <f t="shared" si="102"/>
        <v>136801.72653141434</v>
      </c>
      <c r="E83" s="118">
        <f t="shared" si="102"/>
        <v>139574.42248348799</v>
      </c>
      <c r="F83" s="118">
        <f t="shared" si="102"/>
        <v>149398.75070013278</v>
      </c>
      <c r="G83" s="118">
        <f t="shared" si="102"/>
        <v>147169.78534240223</v>
      </c>
    </row>
    <row r="84" spans="1:20" ht="15.75" customHeight="1">
      <c r="A84" s="115" t="s">
        <v>75</v>
      </c>
      <c r="G84" s="118">
        <f>(G81*(1+0.02))/(0.0358-0.02)</f>
        <v>11708908.679895647</v>
      </c>
    </row>
    <row r="85" spans="1:20" ht="15.75" customHeight="1">
      <c r="A85" s="115" t="s">
        <v>76</v>
      </c>
      <c r="B85" s="118">
        <f>G84*G82</f>
        <v>9500834.2436234355</v>
      </c>
      <c r="H85" s="137"/>
    </row>
    <row r="86" spans="1:20" ht="15.75" customHeight="1">
      <c r="A86" s="115" t="s">
        <v>77</v>
      </c>
      <c r="B86" s="118">
        <f>SUM(B83:G83)</f>
        <v>835409.27187493979</v>
      </c>
      <c r="E86" s="138"/>
      <c r="F86" s="139"/>
      <c r="G86" s="139"/>
      <c r="H86" s="139"/>
      <c r="I86" s="137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</row>
    <row r="87" spans="1:20" ht="15.75" customHeight="1">
      <c r="A87" s="115" t="s">
        <v>78</v>
      </c>
      <c r="B87" s="129">
        <v>596000</v>
      </c>
      <c r="C87" s="141"/>
      <c r="E87" s="140"/>
      <c r="F87" s="137"/>
      <c r="G87" s="137"/>
      <c r="H87" s="137"/>
      <c r="I87" s="137"/>
      <c r="J87" s="140"/>
      <c r="K87" s="140"/>
      <c r="L87" s="140"/>
      <c r="M87" s="140"/>
      <c r="N87" s="140"/>
      <c r="O87" s="140"/>
      <c r="P87" s="140"/>
      <c r="Q87" s="140"/>
      <c r="R87" s="140"/>
      <c r="S87" s="140"/>
      <c r="T87" s="140"/>
    </row>
    <row r="88" spans="1:20" ht="15.75" customHeight="1">
      <c r="A88" s="130" t="s">
        <v>79</v>
      </c>
      <c r="B88" s="131">
        <v>10645783</v>
      </c>
      <c r="E88" s="138"/>
      <c r="F88" s="139"/>
      <c r="G88" s="139"/>
      <c r="H88" s="139"/>
      <c r="I88" s="139"/>
      <c r="J88" s="140"/>
      <c r="K88" s="142"/>
      <c r="L88" s="143"/>
      <c r="M88" s="143"/>
      <c r="N88" s="143"/>
      <c r="O88" s="143"/>
      <c r="P88" s="143"/>
      <c r="Q88" s="143"/>
      <c r="R88" s="143"/>
      <c r="S88" s="143"/>
      <c r="T88" s="143"/>
    </row>
    <row r="89" spans="1:20" ht="15.75" customHeight="1">
      <c r="A89" s="115" t="s">
        <v>80</v>
      </c>
      <c r="B89" s="118">
        <f>SUM(B85:B87)/B88</f>
        <v>1.0269083556839713</v>
      </c>
      <c r="E89" s="140"/>
      <c r="F89" s="137"/>
      <c r="G89" s="137"/>
      <c r="H89" s="137"/>
      <c r="I89" s="137"/>
      <c r="J89" s="140"/>
      <c r="K89" s="140"/>
      <c r="L89" s="140"/>
      <c r="M89" s="140"/>
      <c r="N89" s="140"/>
      <c r="O89" s="140"/>
      <c r="P89" s="140"/>
      <c r="Q89" s="140"/>
      <c r="R89" s="140"/>
      <c r="S89" s="140"/>
      <c r="T89" s="140"/>
    </row>
    <row r="90" spans="1:20" ht="15.75" customHeight="1">
      <c r="A90" s="144" t="s">
        <v>81</v>
      </c>
      <c r="B90" s="124">
        <f>B89*1000</f>
        <v>1026.9083556839714</v>
      </c>
      <c r="E90" s="140"/>
      <c r="F90" s="137"/>
      <c r="G90" s="137"/>
      <c r="H90" s="137"/>
      <c r="I90" s="137"/>
      <c r="J90" s="140"/>
      <c r="K90" s="140"/>
      <c r="L90" s="140"/>
      <c r="M90" s="140"/>
      <c r="N90" s="140"/>
      <c r="O90" s="140"/>
      <c r="P90" s="140"/>
      <c r="Q90" s="140"/>
      <c r="R90" s="140"/>
      <c r="S90" s="140"/>
      <c r="T90" s="140"/>
    </row>
    <row r="91" spans="1:20" ht="15.75" customHeight="1">
      <c r="A91" s="115"/>
      <c r="E91" s="140"/>
      <c r="F91" s="137"/>
      <c r="G91" s="137"/>
      <c r="H91" s="137"/>
      <c r="I91" s="137"/>
      <c r="J91" s="140"/>
      <c r="K91" s="140"/>
      <c r="L91" s="140"/>
      <c r="M91" s="140"/>
      <c r="N91" s="140"/>
      <c r="O91" s="140"/>
      <c r="P91" s="140"/>
      <c r="Q91" s="140"/>
      <c r="R91" s="140"/>
      <c r="S91" s="140"/>
      <c r="T91" s="140"/>
    </row>
    <row r="92" spans="1:20" ht="15.75" customHeight="1">
      <c r="A92" s="134" t="s">
        <v>85</v>
      </c>
      <c r="E92" s="138"/>
      <c r="F92" s="139"/>
      <c r="G92" s="139"/>
      <c r="H92" s="139"/>
      <c r="I92" s="139"/>
      <c r="J92" s="140"/>
      <c r="K92" s="143"/>
      <c r="L92" s="143"/>
      <c r="M92" s="143"/>
      <c r="N92" s="143"/>
      <c r="O92" s="143"/>
      <c r="P92" s="143"/>
      <c r="Q92" s="143"/>
      <c r="R92" s="143"/>
      <c r="S92" s="143"/>
      <c r="T92" s="143"/>
    </row>
    <row r="93" spans="1:20" ht="15.75" customHeight="1">
      <c r="B93" s="12">
        <v>2022</v>
      </c>
      <c r="C93" s="12">
        <v>2023</v>
      </c>
      <c r="D93" s="12">
        <v>2024</v>
      </c>
      <c r="E93" s="12">
        <v>2025</v>
      </c>
      <c r="F93" s="13">
        <v>2026</v>
      </c>
      <c r="G93" s="13">
        <v>2027</v>
      </c>
      <c r="H93" s="137"/>
      <c r="I93" s="137"/>
      <c r="J93" s="140"/>
      <c r="K93" s="140"/>
      <c r="L93" s="140"/>
      <c r="M93" s="140"/>
      <c r="N93" s="140"/>
      <c r="O93" s="140"/>
      <c r="P93" s="140"/>
      <c r="Q93" s="140"/>
      <c r="R93" s="140"/>
      <c r="S93" s="140"/>
      <c r="T93" s="140"/>
    </row>
    <row r="94" spans="1:20" ht="15.75" customHeight="1">
      <c r="A94" s="115" t="s">
        <v>72</v>
      </c>
      <c r="B94" s="32">
        <f t="shared" ref="B94:G94" si="103">M61</f>
        <v>131574.15030141169</v>
      </c>
      <c r="C94" s="32">
        <f t="shared" si="103"/>
        <v>145161.41883700129</v>
      </c>
      <c r="D94" s="32">
        <f t="shared" si="103"/>
        <v>151868.92447943389</v>
      </c>
      <c r="E94" s="32">
        <f t="shared" si="103"/>
        <v>160438.63484752309</v>
      </c>
      <c r="F94" s="32">
        <f t="shared" si="103"/>
        <v>177818.05840246429</v>
      </c>
      <c r="G94" s="32">
        <f t="shared" si="103"/>
        <v>181373.29131603061</v>
      </c>
      <c r="H94" s="145"/>
      <c r="I94" s="137"/>
      <c r="J94" s="140"/>
      <c r="K94" s="143"/>
      <c r="L94" s="143"/>
      <c r="M94" s="143"/>
      <c r="N94" s="143"/>
      <c r="O94" s="143"/>
      <c r="P94" s="143"/>
      <c r="Q94" s="143"/>
      <c r="R94" s="143"/>
      <c r="S94" s="143"/>
      <c r="T94" s="143"/>
    </row>
    <row r="95" spans="1:20" ht="15.75" customHeight="1">
      <c r="A95" s="115" t="s">
        <v>73</v>
      </c>
      <c r="B95" s="118">
        <f>1/(1+$E63)</f>
        <v>0.94710840015159081</v>
      </c>
      <c r="C95" s="118">
        <f>1/(1+$E63)^2</f>
        <v>0.89701432163770589</v>
      </c>
      <c r="D95" s="118">
        <f>1/(1+$E63)^3</f>
        <v>0.84956979907935226</v>
      </c>
      <c r="E95" s="118">
        <f>1/(1+$E63)^4</f>
        <v>0.80463469322315373</v>
      </c>
      <c r="F95" s="118">
        <f>1/(1+$E63)^5</f>
        <v>0.76207627700504732</v>
      </c>
      <c r="G95" s="118">
        <f>1/(1+$E63)^6</f>
        <v>0.72176884350773085</v>
      </c>
      <c r="H95" s="137"/>
      <c r="I95" s="137"/>
      <c r="J95" s="140"/>
      <c r="K95" s="140"/>
      <c r="L95" s="140"/>
      <c r="M95" s="140"/>
      <c r="N95" s="140"/>
      <c r="O95" s="140"/>
      <c r="P95" s="140"/>
      <c r="Q95" s="140"/>
      <c r="R95" s="140"/>
      <c r="S95" s="140"/>
      <c r="T95" s="140"/>
    </row>
    <row r="96" spans="1:20" ht="15.75" customHeight="1">
      <c r="A96" s="115" t="s">
        <v>74</v>
      </c>
      <c r="B96" s="118">
        <f t="shared" ref="B96:G96" si="104">B94*B95</f>
        <v>124614.98299327497</v>
      </c>
      <c r="C96" s="118">
        <f t="shared" si="104"/>
        <v>130211.87164603961</v>
      </c>
      <c r="D96" s="118">
        <f t="shared" si="104"/>
        <v>129023.25165638997</v>
      </c>
      <c r="E96" s="118">
        <f t="shared" si="104"/>
        <v>129094.49173167832</v>
      </c>
      <c r="F96" s="118">
        <f t="shared" si="104"/>
        <v>135510.92393161607</v>
      </c>
      <c r="G96" s="118">
        <f t="shared" si="104"/>
        <v>130909.59071636217</v>
      </c>
      <c r="H96" s="137"/>
      <c r="I96" s="137"/>
      <c r="J96" s="140"/>
      <c r="K96" s="143"/>
      <c r="L96" s="143"/>
      <c r="M96" s="143"/>
      <c r="N96" s="143"/>
      <c r="O96" s="143"/>
      <c r="P96" s="143"/>
      <c r="Q96" s="143"/>
      <c r="R96" s="143"/>
      <c r="S96" s="143"/>
      <c r="T96" s="143"/>
    </row>
    <row r="97" spans="1:20" ht="15.75" customHeight="1">
      <c r="A97" s="115" t="s">
        <v>75</v>
      </c>
      <c r="E97" s="140"/>
      <c r="F97" s="137"/>
      <c r="G97" s="137">
        <f>(G94*(1+0.02))/(E63-0.02)</f>
        <v>5161081.1020916412</v>
      </c>
      <c r="H97" s="137"/>
      <c r="I97" s="137"/>
      <c r="J97" s="137"/>
      <c r="K97" s="146"/>
      <c r="L97" s="146"/>
      <c r="M97" s="146"/>
      <c r="N97" s="146"/>
      <c r="O97" s="146"/>
      <c r="P97" s="146"/>
      <c r="Q97" s="146"/>
      <c r="R97" s="146"/>
      <c r="S97" s="146"/>
      <c r="T97" s="146"/>
    </row>
    <row r="98" spans="1:20" ht="15.75" customHeight="1">
      <c r="A98" s="115" t="s">
        <v>76</v>
      </c>
      <c r="B98" s="118">
        <f>G97*G95</f>
        <v>3725107.5383062889</v>
      </c>
      <c r="E98" s="140"/>
      <c r="F98" s="137"/>
      <c r="G98" s="137"/>
      <c r="H98" s="137"/>
      <c r="I98" s="137"/>
      <c r="J98" s="147"/>
    </row>
    <row r="99" spans="1:20" ht="15.75" customHeight="1">
      <c r="A99" s="115" t="s">
        <v>77</v>
      </c>
      <c r="B99" s="118">
        <f>SUM(B96:G96)</f>
        <v>779365.1126753611</v>
      </c>
      <c r="E99" s="138"/>
      <c r="F99" s="139"/>
      <c r="G99" s="139"/>
      <c r="H99" s="139"/>
      <c r="I99" s="139"/>
      <c r="J99" s="148"/>
    </row>
    <row r="100" spans="1:20" ht="15.75" customHeight="1">
      <c r="A100" s="115" t="s">
        <v>78</v>
      </c>
      <c r="B100" s="129">
        <v>596000</v>
      </c>
      <c r="F100" s="146"/>
      <c r="G100" s="146"/>
      <c r="H100" s="146"/>
      <c r="I100" s="146"/>
      <c r="J100" s="146"/>
      <c r="K100" s="146"/>
    </row>
    <row r="101" spans="1:20" ht="15.75" customHeight="1">
      <c r="A101" s="130" t="s">
        <v>79</v>
      </c>
      <c r="B101" s="131">
        <v>10645783</v>
      </c>
      <c r="F101" s="146"/>
      <c r="G101" s="146"/>
      <c r="H101" s="146"/>
      <c r="I101" s="146"/>
      <c r="J101" s="146"/>
      <c r="K101" s="149"/>
    </row>
    <row r="102" spans="1:20" ht="15.75" customHeight="1">
      <c r="A102" s="115" t="s">
        <v>80</v>
      </c>
      <c r="B102" s="118">
        <f>SUM(B98:B100)/B101</f>
        <v>0.47910732831785596</v>
      </c>
      <c r="F102" s="146"/>
      <c r="G102" s="146"/>
      <c r="H102" s="146"/>
      <c r="I102" s="146"/>
      <c r="J102" s="146"/>
    </row>
    <row r="103" spans="1:20" ht="15.75" customHeight="1">
      <c r="A103" s="144" t="s">
        <v>81</v>
      </c>
      <c r="B103" s="150">
        <f>B102*1000</f>
        <v>479.10732831785594</v>
      </c>
      <c r="F103" s="146"/>
      <c r="G103" s="146"/>
      <c r="H103" s="146"/>
      <c r="I103" s="146"/>
      <c r="J103" s="146"/>
    </row>
    <row r="104" spans="1:20" ht="15.75" customHeight="1">
      <c r="A104" s="115"/>
      <c r="F104" s="146"/>
      <c r="G104" s="146"/>
      <c r="H104" s="146"/>
      <c r="I104" s="146"/>
      <c r="J104" s="146"/>
    </row>
    <row r="105" spans="1:20" ht="15.75" customHeight="1">
      <c r="A105" s="115"/>
      <c r="F105" s="146"/>
      <c r="G105" s="146"/>
      <c r="H105" s="146"/>
      <c r="I105" s="146"/>
      <c r="J105" s="146"/>
    </row>
    <row r="106" spans="1:20" ht="15.75" customHeight="1">
      <c r="A106" s="115"/>
      <c r="F106" s="146"/>
      <c r="G106" s="146"/>
      <c r="H106" s="146"/>
      <c r="I106" s="146"/>
      <c r="J106" s="146"/>
    </row>
    <row r="107" spans="1:20" ht="15.75" customHeight="1">
      <c r="A107" s="115"/>
      <c r="F107" s="146"/>
      <c r="G107" s="146"/>
      <c r="H107" s="146"/>
      <c r="I107" s="146"/>
      <c r="J107" s="146"/>
    </row>
    <row r="108" spans="1:20" ht="15.75" customHeight="1">
      <c r="B108" s="151"/>
      <c r="C108" s="151"/>
      <c r="D108" s="151"/>
      <c r="E108" s="151"/>
      <c r="F108" s="151"/>
      <c r="G108" s="151"/>
      <c r="H108" s="151"/>
    </row>
    <row r="109" spans="1:20" ht="15.75" customHeight="1">
      <c r="B109" s="152"/>
      <c r="C109" s="152"/>
      <c r="D109" s="152"/>
      <c r="E109" s="152"/>
      <c r="F109" s="152"/>
      <c r="G109" s="152"/>
      <c r="H109" s="152"/>
      <c r="J109" s="138"/>
      <c r="K109" s="139"/>
      <c r="L109" s="139"/>
      <c r="M109" s="139"/>
    </row>
    <row r="110" spans="1:20" ht="15.75" customHeight="1">
      <c r="B110" s="152"/>
      <c r="C110" s="152"/>
      <c r="D110" s="152"/>
      <c r="E110" s="152"/>
      <c r="F110" s="152"/>
      <c r="G110" s="152"/>
      <c r="H110" s="152"/>
      <c r="J110" s="140"/>
      <c r="K110" s="137"/>
      <c r="L110" s="137"/>
      <c r="M110" s="137"/>
    </row>
    <row r="111" spans="1:20" ht="15.75" customHeight="1">
      <c r="B111" s="152"/>
      <c r="C111" s="152"/>
      <c r="D111" s="152"/>
      <c r="E111" s="152"/>
      <c r="F111" s="152"/>
      <c r="G111" s="152"/>
      <c r="H111" s="152"/>
      <c r="J111" s="138"/>
      <c r="K111" s="139"/>
      <c r="L111" s="139"/>
      <c r="M111" s="139"/>
    </row>
    <row r="112" spans="1:20" ht="15.75" customHeight="1">
      <c r="B112" s="152"/>
      <c r="C112" s="152"/>
      <c r="D112" s="152"/>
      <c r="E112" s="152"/>
      <c r="F112" s="152"/>
      <c r="G112" s="152"/>
      <c r="J112" s="140"/>
      <c r="K112" s="137"/>
      <c r="L112" s="137"/>
      <c r="M112" s="137"/>
    </row>
    <row r="113" spans="2:13" ht="15.75" customHeight="1">
      <c r="B113" s="152"/>
      <c r="C113" s="152"/>
      <c r="D113" s="152"/>
      <c r="E113" s="152"/>
      <c r="F113" s="152"/>
      <c r="G113" s="152"/>
      <c r="H113" s="152"/>
      <c r="J113" s="138"/>
      <c r="K113" s="139"/>
      <c r="L113" s="139"/>
      <c r="M113" s="139"/>
    </row>
    <row r="114" spans="2:13" ht="15.75" customHeight="1">
      <c r="B114" s="153"/>
      <c r="C114" s="153"/>
      <c r="D114" s="153"/>
      <c r="E114" s="153"/>
      <c r="F114" s="153"/>
      <c r="G114" s="153"/>
      <c r="H114" s="153"/>
      <c r="J114" s="140"/>
      <c r="K114" s="137"/>
      <c r="L114" s="137"/>
      <c r="M114" s="137"/>
    </row>
    <row r="115" spans="2:13" ht="15.75" customHeight="1">
      <c r="J115" s="140"/>
      <c r="K115" s="137"/>
      <c r="L115" s="137"/>
      <c r="M115" s="137"/>
    </row>
    <row r="116" spans="2:13" ht="15.75" customHeight="1">
      <c r="J116" s="140"/>
      <c r="K116" s="137"/>
      <c r="L116" s="137"/>
      <c r="M116" s="137"/>
    </row>
    <row r="117" spans="2:13" ht="15.75" customHeight="1">
      <c r="J117" s="140"/>
      <c r="K117" s="137"/>
      <c r="L117" s="137"/>
      <c r="M117" s="137"/>
    </row>
    <row r="118" spans="2:13" ht="15.75" customHeight="1">
      <c r="J118" s="140"/>
      <c r="K118" s="137"/>
      <c r="L118" s="137"/>
      <c r="M118" s="137"/>
    </row>
    <row r="119" spans="2:13" ht="15.75" customHeight="1">
      <c r="J119" s="140"/>
      <c r="K119" s="137"/>
      <c r="L119" s="137"/>
      <c r="M119" s="137"/>
    </row>
    <row r="120" spans="2:13" ht="15.75" customHeight="1">
      <c r="J120" s="138"/>
      <c r="K120" s="139"/>
      <c r="L120" s="139"/>
      <c r="M120" s="139"/>
    </row>
    <row r="121" spans="2:13" ht="15.75" customHeight="1">
      <c r="K121" s="146"/>
      <c r="L121" s="146"/>
      <c r="M121" s="146"/>
    </row>
    <row r="122" spans="2:13" ht="15.75" customHeight="1">
      <c r="K122" s="146"/>
      <c r="L122" s="146"/>
      <c r="M122" s="146"/>
    </row>
    <row r="123" spans="2:13" ht="15.75" customHeight="1">
      <c r="K123" s="146"/>
      <c r="L123" s="146"/>
      <c r="M123" s="146"/>
    </row>
    <row r="124" spans="2:13" ht="15.75" customHeight="1"/>
    <row r="125" spans="2:13" ht="15.75" customHeight="1"/>
    <row r="126" spans="2:13" ht="15.75" customHeight="1"/>
    <row r="127" spans="2:13" ht="15.75" customHeight="1"/>
    <row r="128" spans="2:13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</sheetData>
  <mergeCells count="3">
    <mergeCell ref="B1:C1"/>
    <mergeCell ref="D1:F1"/>
    <mergeCell ref="G1:I1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P126"/>
  <sheetViews>
    <sheetView topLeftCell="A85" zoomScale="70" zoomScaleNormal="70" workbookViewId="0">
      <selection activeCell="J103" sqref="J103"/>
    </sheetView>
  </sheetViews>
  <sheetFormatPr baseColWidth="10" defaultColWidth="12.6640625" defaultRowHeight="15" customHeight="1"/>
  <cols>
    <col min="1" max="1" width="43.25" customWidth="1"/>
    <col min="2" max="2" width="13.9140625" customWidth="1"/>
    <col min="3" max="3" width="20.75" customWidth="1"/>
    <col min="4" max="4" width="12.33203125" customWidth="1"/>
    <col min="5" max="5" width="11.58203125" customWidth="1"/>
    <col min="6" max="6" width="14.58203125" customWidth="1"/>
    <col min="7" max="7" width="16.4140625" customWidth="1"/>
    <col min="8" max="8" width="11.4140625" customWidth="1"/>
    <col min="9" max="9" width="11.9140625" customWidth="1"/>
    <col min="10" max="10" width="10.75" customWidth="1"/>
    <col min="11" max="11" width="11.6640625" customWidth="1"/>
  </cols>
  <sheetData>
    <row r="2" spans="1:11" ht="15.5">
      <c r="B2" s="154" t="s">
        <v>86</v>
      </c>
      <c r="C2" s="154" t="s">
        <v>87</v>
      </c>
      <c r="D2" s="154" t="s">
        <v>88</v>
      </c>
      <c r="E2" s="154" t="s">
        <v>89</v>
      </c>
      <c r="F2" s="154" t="s">
        <v>90</v>
      </c>
      <c r="G2" s="154" t="s">
        <v>91</v>
      </c>
      <c r="H2" s="154" t="s">
        <v>92</v>
      </c>
      <c r="I2" s="155" t="s">
        <v>93</v>
      </c>
      <c r="J2" s="156"/>
      <c r="K2" s="156"/>
    </row>
    <row r="3" spans="1:11" ht="15.5">
      <c r="A3" s="15" t="s">
        <v>2</v>
      </c>
      <c r="B3" s="157"/>
      <c r="C3" s="157"/>
      <c r="D3" s="157"/>
      <c r="E3" s="157"/>
      <c r="F3" s="157"/>
      <c r="G3" s="157"/>
      <c r="H3" s="157"/>
      <c r="I3" s="157"/>
      <c r="J3" s="157"/>
      <c r="K3" s="158"/>
    </row>
    <row r="4" spans="1:11" ht="15.5">
      <c r="A4" s="22" t="s">
        <v>3</v>
      </c>
      <c r="B4" s="159">
        <v>8969</v>
      </c>
      <c r="C4" s="160">
        <v>9011</v>
      </c>
      <c r="D4" s="160">
        <f t="shared" ref="D4:E4" si="0">C4</f>
        <v>9011</v>
      </c>
      <c r="E4" s="160">
        <f t="shared" si="0"/>
        <v>9011</v>
      </c>
      <c r="F4" s="160">
        <f t="shared" ref="F4:F8" si="1">E4*(1+5%)</f>
        <v>9461.5500000000011</v>
      </c>
      <c r="G4" s="160">
        <f t="shared" ref="G4:H4" si="2">F4</f>
        <v>9461.5500000000011</v>
      </c>
      <c r="H4" s="160">
        <f t="shared" si="2"/>
        <v>9461.5500000000011</v>
      </c>
      <c r="I4" s="161">
        <f t="shared" ref="I4:I8" si="3">H4*(1+5%)</f>
        <v>9934.6275000000023</v>
      </c>
      <c r="J4" s="162"/>
      <c r="K4" s="163"/>
    </row>
    <row r="5" spans="1:11" ht="15.5">
      <c r="A5" s="22" t="s">
        <v>5</v>
      </c>
      <c r="B5" s="164">
        <v>8489</v>
      </c>
      <c r="C5" s="165">
        <v>8152</v>
      </c>
      <c r="D5" s="165">
        <f t="shared" ref="D5:E5" si="4">C5</f>
        <v>8152</v>
      </c>
      <c r="E5" s="165">
        <f t="shared" si="4"/>
        <v>8152</v>
      </c>
      <c r="F5" s="165">
        <f t="shared" si="1"/>
        <v>8559.6</v>
      </c>
      <c r="G5" s="165">
        <f t="shared" ref="G5:H5" si="5">F5</f>
        <v>8559.6</v>
      </c>
      <c r="H5" s="165">
        <f t="shared" si="5"/>
        <v>8559.6</v>
      </c>
      <c r="I5" s="166">
        <f t="shared" si="3"/>
        <v>8987.58</v>
      </c>
      <c r="J5" s="162"/>
      <c r="K5" s="163"/>
    </row>
    <row r="6" spans="1:11" ht="15.5">
      <c r="A6" s="22" t="s">
        <v>7</v>
      </c>
      <c r="B6" s="164">
        <v>8444</v>
      </c>
      <c r="C6" s="165">
        <v>8271</v>
      </c>
      <c r="D6" s="165">
        <f t="shared" ref="D6:E6" si="6">C6</f>
        <v>8271</v>
      </c>
      <c r="E6" s="165">
        <f t="shared" si="6"/>
        <v>8271</v>
      </c>
      <c r="F6" s="165">
        <f t="shared" si="1"/>
        <v>8684.5500000000011</v>
      </c>
      <c r="G6" s="165">
        <f t="shared" ref="G6:H6" si="7">F6</f>
        <v>8684.5500000000011</v>
      </c>
      <c r="H6" s="165">
        <f t="shared" si="7"/>
        <v>8684.5500000000011</v>
      </c>
      <c r="I6" s="166">
        <f t="shared" si="3"/>
        <v>9118.777500000002</v>
      </c>
      <c r="J6" s="162"/>
      <c r="K6" s="163"/>
    </row>
    <row r="7" spans="1:11" ht="15.5">
      <c r="A7" s="22" t="s">
        <v>9</v>
      </c>
      <c r="B7" s="164">
        <v>8735</v>
      </c>
      <c r="C7" s="165">
        <v>8735</v>
      </c>
      <c r="D7" s="165">
        <f t="shared" ref="D7:E7" si="8">C7</f>
        <v>8735</v>
      </c>
      <c r="E7" s="165">
        <f t="shared" si="8"/>
        <v>8735</v>
      </c>
      <c r="F7" s="165">
        <f t="shared" si="1"/>
        <v>9171.75</v>
      </c>
      <c r="G7" s="165">
        <f t="shared" ref="G7:H7" si="9">F7</f>
        <v>9171.75</v>
      </c>
      <c r="H7" s="165">
        <f t="shared" si="9"/>
        <v>9171.75</v>
      </c>
      <c r="I7" s="166">
        <f t="shared" si="3"/>
        <v>9630.3374999999996</v>
      </c>
      <c r="J7" s="162"/>
      <c r="K7" s="163"/>
    </row>
    <row r="8" spans="1:11" ht="15.5">
      <c r="A8" s="22" t="s">
        <v>11</v>
      </c>
      <c r="B8" s="164">
        <v>5060</v>
      </c>
      <c r="C8" s="165">
        <v>5601</v>
      </c>
      <c r="D8" s="165">
        <f t="shared" ref="D8:E8" si="10">C8</f>
        <v>5601</v>
      </c>
      <c r="E8" s="165">
        <f t="shared" si="10"/>
        <v>5601</v>
      </c>
      <c r="F8" s="165">
        <f t="shared" si="1"/>
        <v>5881.05</v>
      </c>
      <c r="G8" s="165">
        <f t="shared" ref="G8:H8" si="11">F8</f>
        <v>5881.05</v>
      </c>
      <c r="H8" s="165">
        <f t="shared" si="11"/>
        <v>5881.05</v>
      </c>
      <c r="I8" s="166">
        <f t="shared" si="3"/>
        <v>6175.1025000000009</v>
      </c>
      <c r="J8" s="162"/>
      <c r="K8" s="163"/>
    </row>
    <row r="9" spans="1:11" ht="15.5">
      <c r="A9" s="22" t="s">
        <v>13</v>
      </c>
      <c r="B9" s="164">
        <v>3432</v>
      </c>
      <c r="C9" s="165">
        <v>3321</v>
      </c>
      <c r="D9" s="165">
        <f t="shared" ref="D9:E9" si="12">C9</f>
        <v>3321</v>
      </c>
      <c r="E9" s="165">
        <f t="shared" si="12"/>
        <v>3321</v>
      </c>
      <c r="F9" s="165">
        <f t="shared" ref="F9:F10" si="13">E9*(1+10%)</f>
        <v>3653.1000000000004</v>
      </c>
      <c r="G9" s="165">
        <f t="shared" ref="G9:H9" si="14">F9</f>
        <v>3653.1000000000004</v>
      </c>
      <c r="H9" s="165">
        <f t="shared" si="14"/>
        <v>3653.1000000000004</v>
      </c>
      <c r="I9" s="166">
        <f t="shared" ref="I9:I10" si="15">H9*(1+10%)</f>
        <v>4018.4100000000008</v>
      </c>
      <c r="J9" s="162"/>
      <c r="K9" s="163"/>
    </row>
    <row r="10" spans="1:11" ht="15.5">
      <c r="A10" s="33" t="s">
        <v>15</v>
      </c>
      <c r="B10" s="167">
        <v>3297</v>
      </c>
      <c r="C10" s="168">
        <v>3372</v>
      </c>
      <c r="D10" s="169">
        <f t="shared" ref="D10:E10" si="16">C10</f>
        <v>3372</v>
      </c>
      <c r="E10" s="169">
        <f t="shared" si="16"/>
        <v>3372</v>
      </c>
      <c r="F10" s="169">
        <f t="shared" si="13"/>
        <v>3709.2000000000003</v>
      </c>
      <c r="G10" s="169">
        <f t="shared" ref="G10:H10" si="17">F10</f>
        <v>3709.2000000000003</v>
      </c>
      <c r="H10" s="169">
        <f t="shared" si="17"/>
        <v>3709.2000000000003</v>
      </c>
      <c r="I10" s="170">
        <f t="shared" si="15"/>
        <v>4080.1200000000008</v>
      </c>
      <c r="J10" s="162"/>
      <c r="K10" s="163"/>
    </row>
    <row r="11" spans="1:11" ht="15.5">
      <c r="A11" s="40" t="s">
        <v>17</v>
      </c>
      <c r="B11" s="171">
        <v>46426</v>
      </c>
      <c r="C11" s="172">
        <v>46463</v>
      </c>
      <c r="D11" s="172">
        <f t="shared" ref="D11:I11" si="18">SUM(D4:D10)</f>
        <v>46463</v>
      </c>
      <c r="E11" s="172">
        <f t="shared" si="18"/>
        <v>46463</v>
      </c>
      <c r="F11" s="172">
        <f t="shared" si="18"/>
        <v>49120.800000000003</v>
      </c>
      <c r="G11" s="172">
        <f t="shared" si="18"/>
        <v>49120.800000000003</v>
      </c>
      <c r="H11" s="172">
        <f t="shared" si="18"/>
        <v>49120.800000000003</v>
      </c>
      <c r="I11" s="173">
        <f t="shared" si="18"/>
        <v>51944.955000000016</v>
      </c>
      <c r="J11" s="174"/>
      <c r="K11" s="174"/>
    </row>
    <row r="12" spans="1:11" ht="15.5">
      <c r="A12" s="47"/>
      <c r="B12" s="162"/>
      <c r="C12" s="162"/>
      <c r="D12" s="162"/>
      <c r="E12" s="162"/>
      <c r="F12" s="162"/>
      <c r="G12" s="162"/>
      <c r="H12" s="162"/>
      <c r="I12" s="162"/>
      <c r="J12" s="162"/>
      <c r="K12" s="163"/>
    </row>
    <row r="13" spans="1:11" ht="15.5">
      <c r="A13" s="50" t="s">
        <v>18</v>
      </c>
      <c r="B13" s="175"/>
      <c r="C13" s="175"/>
      <c r="D13" s="175"/>
      <c r="E13" s="175"/>
      <c r="F13" s="175"/>
      <c r="G13" s="175"/>
      <c r="H13" s="175"/>
      <c r="I13" s="175"/>
      <c r="J13" s="175"/>
      <c r="K13" s="158"/>
    </row>
    <row r="14" spans="1:11" ht="15.5">
      <c r="A14" s="22" t="s">
        <v>19</v>
      </c>
      <c r="B14" s="159"/>
      <c r="C14" s="160">
        <v>19306</v>
      </c>
      <c r="D14" s="160">
        <f t="shared" ref="D14:E14" si="19">C14</f>
        <v>19306</v>
      </c>
      <c r="E14" s="160">
        <f t="shared" si="19"/>
        <v>19306</v>
      </c>
      <c r="F14" s="160">
        <f t="shared" ref="F14:F16" si="20">E14*(1+5%)</f>
        <v>20271.3</v>
      </c>
      <c r="G14" s="160">
        <f t="shared" ref="G14:H14" si="21">F14</f>
        <v>20271.3</v>
      </c>
      <c r="H14" s="160">
        <f t="shared" si="21"/>
        <v>20271.3</v>
      </c>
      <c r="I14" s="161">
        <f t="shared" ref="I14:I16" si="22">H14*(1+5%)</f>
        <v>21284.865000000002</v>
      </c>
      <c r="J14" s="162"/>
      <c r="K14" s="163"/>
    </row>
    <row r="15" spans="1:11" ht="15.5">
      <c r="A15" s="22" t="s">
        <v>21</v>
      </c>
      <c r="B15" s="164">
        <v>34574</v>
      </c>
      <c r="C15" s="165">
        <v>30923</v>
      </c>
      <c r="D15" s="165">
        <f t="shared" ref="D15:E15" si="23">C15</f>
        <v>30923</v>
      </c>
      <c r="E15" s="165">
        <f t="shared" si="23"/>
        <v>30923</v>
      </c>
      <c r="F15" s="165">
        <f t="shared" si="20"/>
        <v>32469.15</v>
      </c>
      <c r="G15" s="165">
        <f t="shared" ref="G15:H15" si="24">F15</f>
        <v>32469.15</v>
      </c>
      <c r="H15" s="165">
        <f t="shared" si="24"/>
        <v>32469.15</v>
      </c>
      <c r="I15" s="166">
        <f t="shared" si="22"/>
        <v>34092.607500000006</v>
      </c>
      <c r="J15" s="162"/>
      <c r="K15" s="163"/>
    </row>
    <row r="16" spans="1:11" ht="15.5">
      <c r="A16" s="33" t="s">
        <v>22</v>
      </c>
      <c r="B16" s="167">
        <v>45081</v>
      </c>
      <c r="C16" s="168">
        <v>33341</v>
      </c>
      <c r="D16" s="169">
        <f t="shared" ref="D16:E16" si="25">C16</f>
        <v>33341</v>
      </c>
      <c r="E16" s="169">
        <f t="shared" si="25"/>
        <v>33341</v>
      </c>
      <c r="F16" s="169">
        <f t="shared" si="20"/>
        <v>35008.050000000003</v>
      </c>
      <c r="G16" s="169">
        <f t="shared" ref="G16:H16" si="26">F16</f>
        <v>35008.050000000003</v>
      </c>
      <c r="H16" s="169">
        <f t="shared" si="26"/>
        <v>35008.050000000003</v>
      </c>
      <c r="I16" s="170">
        <f t="shared" si="22"/>
        <v>36758.452500000007</v>
      </c>
      <c r="J16" s="162"/>
      <c r="K16" s="163"/>
    </row>
    <row r="17" spans="1:11" ht="15.5">
      <c r="A17" s="40" t="s">
        <v>17</v>
      </c>
      <c r="B17" s="171">
        <v>107574</v>
      </c>
      <c r="C17" s="172">
        <v>83570</v>
      </c>
      <c r="D17" s="172">
        <f t="shared" ref="D17:I17" si="27">SUM(D14:D16)</f>
        <v>83570</v>
      </c>
      <c r="E17" s="172">
        <f t="shared" si="27"/>
        <v>83570</v>
      </c>
      <c r="F17" s="172">
        <f t="shared" si="27"/>
        <v>87748.5</v>
      </c>
      <c r="G17" s="172">
        <f t="shared" si="27"/>
        <v>87748.5</v>
      </c>
      <c r="H17" s="172">
        <f t="shared" si="27"/>
        <v>87748.5</v>
      </c>
      <c r="I17" s="173">
        <f t="shared" si="27"/>
        <v>92135.925000000017</v>
      </c>
      <c r="J17" s="174"/>
      <c r="K17" s="163"/>
    </row>
    <row r="18" spans="1:11" ht="15.5">
      <c r="A18" s="47"/>
      <c r="B18" s="162"/>
      <c r="C18" s="162"/>
      <c r="D18" s="162"/>
      <c r="E18" s="162"/>
      <c r="F18" s="162"/>
      <c r="G18" s="162"/>
      <c r="H18" s="162"/>
      <c r="I18" s="162"/>
      <c r="J18" s="162"/>
      <c r="K18" s="163"/>
    </row>
    <row r="19" spans="1:11" ht="15.5">
      <c r="A19" s="176" t="s">
        <v>23</v>
      </c>
      <c r="B19" s="175"/>
      <c r="C19" s="175"/>
      <c r="D19" s="175"/>
      <c r="E19" s="175"/>
      <c r="F19" s="175"/>
      <c r="G19" s="175"/>
      <c r="H19" s="175"/>
      <c r="I19" s="175"/>
      <c r="J19" s="175"/>
      <c r="K19" s="158"/>
    </row>
    <row r="20" spans="1:11" ht="15.5">
      <c r="A20" s="59" t="s">
        <v>24</v>
      </c>
      <c r="B20" s="159">
        <v>9904</v>
      </c>
      <c r="C20" s="160">
        <v>7310</v>
      </c>
      <c r="D20" s="160">
        <f t="shared" ref="D20:E20" si="28">C20</f>
        <v>7310</v>
      </c>
      <c r="E20" s="160">
        <f t="shared" si="28"/>
        <v>7310</v>
      </c>
      <c r="F20" s="160">
        <f t="shared" ref="F20:F23" si="29">E20*(1+5%)</f>
        <v>7675.5</v>
      </c>
      <c r="G20" s="160">
        <f t="shared" ref="G20:H20" si="30">F20</f>
        <v>7675.5</v>
      </c>
      <c r="H20" s="160">
        <f t="shared" si="30"/>
        <v>7675.5</v>
      </c>
      <c r="I20" s="161">
        <f t="shared" ref="I20:I23" si="31">H20*(1+5%)</f>
        <v>8059.2750000000005</v>
      </c>
      <c r="J20" s="162"/>
      <c r="K20" s="163"/>
    </row>
    <row r="21" spans="1:11" ht="15.5">
      <c r="A21" s="59" t="s">
        <v>26</v>
      </c>
      <c r="B21" s="164">
        <v>20961</v>
      </c>
      <c r="C21" s="165">
        <v>18323</v>
      </c>
      <c r="D21" s="165">
        <f t="shared" ref="D21:E21" si="32">C21</f>
        <v>18323</v>
      </c>
      <c r="E21" s="165">
        <f t="shared" si="32"/>
        <v>18323</v>
      </c>
      <c r="F21" s="165">
        <f t="shared" si="29"/>
        <v>19239.150000000001</v>
      </c>
      <c r="G21" s="165">
        <f t="shared" ref="G21:H21" si="33">F21</f>
        <v>19239.150000000001</v>
      </c>
      <c r="H21" s="165">
        <f t="shared" si="33"/>
        <v>19239.150000000001</v>
      </c>
      <c r="I21" s="166">
        <f t="shared" si="31"/>
        <v>20201.107500000002</v>
      </c>
      <c r="J21" s="162"/>
      <c r="K21" s="163"/>
    </row>
    <row r="22" spans="1:11" ht="15.5">
      <c r="A22" s="59" t="s">
        <v>28</v>
      </c>
      <c r="B22" s="164">
        <v>10144</v>
      </c>
      <c r="C22" s="165">
        <v>9849</v>
      </c>
      <c r="D22" s="165">
        <f t="shared" ref="D22:E22" si="34">C22</f>
        <v>9849</v>
      </c>
      <c r="E22" s="165">
        <f t="shared" si="34"/>
        <v>9849</v>
      </c>
      <c r="F22" s="165">
        <f t="shared" si="29"/>
        <v>10341.450000000001</v>
      </c>
      <c r="G22" s="165">
        <f t="shared" ref="G22:H22" si="35">F22</f>
        <v>10341.450000000001</v>
      </c>
      <c r="H22" s="165">
        <f t="shared" si="35"/>
        <v>10341.450000000001</v>
      </c>
      <c r="I22" s="166">
        <f t="shared" si="31"/>
        <v>10858.522500000001</v>
      </c>
      <c r="J22" s="162"/>
      <c r="K22" s="163"/>
    </row>
    <row r="23" spans="1:11" ht="15.5">
      <c r="A23" s="59" t="s">
        <v>29</v>
      </c>
      <c r="B23" s="177">
        <v>14276</v>
      </c>
      <c r="C23" s="178">
        <v>15642</v>
      </c>
      <c r="D23" s="165">
        <f t="shared" ref="D23:E23" si="36">C23</f>
        <v>15642</v>
      </c>
      <c r="E23" s="165">
        <f t="shared" si="36"/>
        <v>15642</v>
      </c>
      <c r="F23" s="165">
        <f t="shared" si="29"/>
        <v>16424.100000000002</v>
      </c>
      <c r="G23" s="165">
        <f t="shared" ref="G23:H23" si="37">F23</f>
        <v>16424.100000000002</v>
      </c>
      <c r="H23" s="165">
        <f t="shared" si="37"/>
        <v>16424.100000000002</v>
      </c>
      <c r="I23" s="166">
        <f t="shared" si="31"/>
        <v>17245.305000000004</v>
      </c>
      <c r="J23" s="162"/>
      <c r="K23" s="163"/>
    </row>
    <row r="24" spans="1:11" ht="15.5">
      <c r="A24" s="59" t="s">
        <v>30</v>
      </c>
      <c r="B24" s="164">
        <v>4210</v>
      </c>
      <c r="C24" s="165">
        <v>4225</v>
      </c>
      <c r="D24" s="165">
        <f t="shared" ref="D24:E24" si="38">C24</f>
        <v>4225</v>
      </c>
      <c r="E24" s="165">
        <f t="shared" si="38"/>
        <v>4225</v>
      </c>
      <c r="F24" s="165">
        <f>E24*(1+10%)</f>
        <v>4647.5</v>
      </c>
      <c r="G24" s="165">
        <f t="shared" ref="G24:H24" si="39">F24</f>
        <v>4647.5</v>
      </c>
      <c r="H24" s="165">
        <f t="shared" si="39"/>
        <v>4647.5</v>
      </c>
      <c r="I24" s="166">
        <f>H24*(1+10%)</f>
        <v>5112.25</v>
      </c>
      <c r="J24" s="162"/>
      <c r="K24" s="163"/>
    </row>
    <row r="25" spans="1:11" ht="15.5">
      <c r="A25" s="59" t="s">
        <v>31</v>
      </c>
      <c r="B25" s="164">
        <v>7733</v>
      </c>
      <c r="C25" s="165">
        <v>6922</v>
      </c>
      <c r="D25" s="165">
        <f t="shared" ref="D25:E25" si="40">C25</f>
        <v>6922</v>
      </c>
      <c r="E25" s="165">
        <f t="shared" si="40"/>
        <v>6922</v>
      </c>
      <c r="F25" s="165">
        <f t="shared" ref="F25:F32" si="41">E25*(1+5%)</f>
        <v>7268.1</v>
      </c>
      <c r="G25" s="165">
        <f t="shared" ref="G25:H25" si="42">F25</f>
        <v>7268.1</v>
      </c>
      <c r="H25" s="165">
        <f t="shared" si="42"/>
        <v>7268.1</v>
      </c>
      <c r="I25" s="166">
        <f t="shared" ref="I25:I32" si="43">H25*(1+5%)</f>
        <v>7631.505000000001</v>
      </c>
      <c r="J25" s="162"/>
      <c r="K25" s="163"/>
    </row>
    <row r="26" spans="1:11" ht="15.5">
      <c r="A26" s="59" t="s">
        <v>32</v>
      </c>
      <c r="B26" s="164">
        <v>5814</v>
      </c>
      <c r="C26" s="165">
        <v>5557</v>
      </c>
      <c r="D26" s="165">
        <f t="shared" ref="D26:E26" si="44">C26</f>
        <v>5557</v>
      </c>
      <c r="E26" s="165">
        <f t="shared" si="44"/>
        <v>5557</v>
      </c>
      <c r="F26" s="165">
        <f t="shared" si="41"/>
        <v>5834.85</v>
      </c>
      <c r="G26" s="165">
        <f t="shared" ref="G26:H26" si="45">F26</f>
        <v>5834.85</v>
      </c>
      <c r="H26" s="165">
        <f t="shared" si="45"/>
        <v>5834.85</v>
      </c>
      <c r="I26" s="166">
        <f t="shared" si="43"/>
        <v>6126.5925000000007</v>
      </c>
      <c r="J26" s="162"/>
      <c r="K26" s="163"/>
    </row>
    <row r="27" spans="1:11" ht="15.5">
      <c r="A27" s="59" t="s">
        <v>33</v>
      </c>
      <c r="B27" s="164">
        <v>9101</v>
      </c>
      <c r="C27" s="165">
        <v>10008</v>
      </c>
      <c r="D27" s="165">
        <f t="shared" ref="D27:E27" si="46">C27</f>
        <v>10008</v>
      </c>
      <c r="E27" s="165">
        <f t="shared" si="46"/>
        <v>10008</v>
      </c>
      <c r="F27" s="165">
        <f t="shared" si="41"/>
        <v>10508.4</v>
      </c>
      <c r="G27" s="165">
        <f t="shared" ref="G27:H27" si="47">F27</f>
        <v>10508.4</v>
      </c>
      <c r="H27" s="165">
        <f t="shared" si="47"/>
        <v>10508.4</v>
      </c>
      <c r="I27" s="166">
        <f t="shared" si="43"/>
        <v>11033.82</v>
      </c>
      <c r="J27" s="162"/>
      <c r="K27" s="163"/>
    </row>
    <row r="28" spans="1:11" ht="15.5">
      <c r="A28" s="59" t="s">
        <v>34</v>
      </c>
      <c r="B28" s="164">
        <v>2643</v>
      </c>
      <c r="C28" s="165">
        <v>6817</v>
      </c>
      <c r="D28" s="165">
        <f t="shared" ref="D28:E28" si="48">C28</f>
        <v>6817</v>
      </c>
      <c r="E28" s="165">
        <f t="shared" si="48"/>
        <v>6817</v>
      </c>
      <c r="F28" s="165">
        <f t="shared" si="41"/>
        <v>7157.85</v>
      </c>
      <c r="G28" s="165">
        <f t="shared" ref="G28:H28" si="49">F28</f>
        <v>7157.85</v>
      </c>
      <c r="H28" s="165">
        <f t="shared" si="49"/>
        <v>7157.85</v>
      </c>
      <c r="I28" s="166">
        <f t="shared" si="43"/>
        <v>7515.7425000000003</v>
      </c>
      <c r="J28" s="162"/>
      <c r="K28" s="163"/>
    </row>
    <row r="29" spans="1:11" ht="15.5">
      <c r="A29" s="59" t="s">
        <v>35</v>
      </c>
      <c r="B29" s="164">
        <v>8291</v>
      </c>
      <c r="C29" s="165">
        <v>11159</v>
      </c>
      <c r="D29" s="165">
        <f t="shared" ref="D29:E29" si="50">C29</f>
        <v>11159</v>
      </c>
      <c r="E29" s="165">
        <f t="shared" si="50"/>
        <v>11159</v>
      </c>
      <c r="F29" s="165">
        <f t="shared" si="41"/>
        <v>11716.95</v>
      </c>
      <c r="G29" s="165">
        <f t="shared" ref="G29:H29" si="51">F29</f>
        <v>11716.95</v>
      </c>
      <c r="H29" s="165">
        <f t="shared" si="51"/>
        <v>11716.95</v>
      </c>
      <c r="I29" s="166">
        <f t="shared" si="43"/>
        <v>12302.797500000001</v>
      </c>
      <c r="J29" s="162"/>
      <c r="K29" s="163"/>
    </row>
    <row r="30" spans="1:11" ht="15.5">
      <c r="A30" s="59" t="s">
        <v>36</v>
      </c>
      <c r="B30" s="164">
        <v>2323</v>
      </c>
      <c r="C30" s="165">
        <v>1064</v>
      </c>
      <c r="D30" s="165">
        <f t="shared" ref="D30:E30" si="52">C30</f>
        <v>1064</v>
      </c>
      <c r="E30" s="165">
        <f t="shared" si="52"/>
        <v>1064</v>
      </c>
      <c r="F30" s="165">
        <f t="shared" si="41"/>
        <v>1117.2</v>
      </c>
      <c r="G30" s="165">
        <f t="shared" ref="G30:H30" si="53">F30</f>
        <v>1117.2</v>
      </c>
      <c r="H30" s="165">
        <f t="shared" si="53"/>
        <v>1117.2</v>
      </c>
      <c r="I30" s="166">
        <f t="shared" si="43"/>
        <v>1173.0600000000002</v>
      </c>
      <c r="J30" s="162"/>
      <c r="K30" s="163"/>
    </row>
    <row r="31" spans="1:11" ht="15.5">
      <c r="A31" s="65" t="s">
        <v>37</v>
      </c>
      <c r="B31" s="164">
        <v>2505</v>
      </c>
      <c r="C31" s="165">
        <v>10190</v>
      </c>
      <c r="D31" s="165">
        <f t="shared" ref="D31:E31" si="54">C31</f>
        <v>10190</v>
      </c>
      <c r="E31" s="165">
        <f t="shared" si="54"/>
        <v>10190</v>
      </c>
      <c r="F31" s="165">
        <f t="shared" si="41"/>
        <v>10699.5</v>
      </c>
      <c r="G31" s="165">
        <f t="shared" ref="G31:H31" si="55">F31</f>
        <v>10699.5</v>
      </c>
      <c r="H31" s="165">
        <f t="shared" si="55"/>
        <v>10699.5</v>
      </c>
      <c r="I31" s="166">
        <f t="shared" si="43"/>
        <v>11234.475</v>
      </c>
      <c r="J31" s="162"/>
      <c r="K31" s="163"/>
    </row>
    <row r="32" spans="1:11" ht="15.5">
      <c r="A32" s="59" t="s">
        <v>39</v>
      </c>
      <c r="B32" s="164">
        <v>90</v>
      </c>
      <c r="C32" s="165">
        <v>5200</v>
      </c>
      <c r="D32" s="165">
        <f t="shared" ref="D32:E32" si="56">C32</f>
        <v>5200</v>
      </c>
      <c r="E32" s="165">
        <f t="shared" si="56"/>
        <v>5200</v>
      </c>
      <c r="F32" s="165">
        <f t="shared" si="41"/>
        <v>5460</v>
      </c>
      <c r="G32" s="165">
        <f t="shared" ref="G32:H32" si="57">F32</f>
        <v>5460</v>
      </c>
      <c r="H32" s="165">
        <f t="shared" si="57"/>
        <v>5460</v>
      </c>
      <c r="I32" s="166">
        <f t="shared" si="43"/>
        <v>5733</v>
      </c>
      <c r="J32" s="162"/>
      <c r="K32" s="163"/>
    </row>
    <row r="33" spans="1:11" ht="15.5">
      <c r="A33" s="67" t="s">
        <v>41</v>
      </c>
      <c r="B33" s="179" t="s">
        <v>38</v>
      </c>
      <c r="C33" s="168">
        <v>5314</v>
      </c>
      <c r="D33" s="169">
        <f t="shared" ref="D33:E33" si="58">C33</f>
        <v>5314</v>
      </c>
      <c r="E33" s="169">
        <f t="shared" si="58"/>
        <v>5314</v>
      </c>
      <c r="F33" s="169">
        <f>E33*(1+10%)</f>
        <v>5845.4000000000005</v>
      </c>
      <c r="G33" s="169">
        <f t="shared" ref="G33:H33" si="59">F33</f>
        <v>5845.4000000000005</v>
      </c>
      <c r="H33" s="169">
        <f t="shared" si="59"/>
        <v>5845.4000000000005</v>
      </c>
      <c r="I33" s="170">
        <f>H33*(1+10%)</f>
        <v>6429.9400000000014</v>
      </c>
      <c r="J33" s="162"/>
      <c r="K33" s="163"/>
    </row>
    <row r="34" spans="1:11" ht="15.5">
      <c r="A34" s="40" t="s">
        <v>17</v>
      </c>
      <c r="B34" s="171">
        <v>97995</v>
      </c>
      <c r="C34" s="172">
        <v>117580</v>
      </c>
      <c r="D34" s="172">
        <f t="shared" ref="D34:I34" si="60">SUM(D20:D33)</f>
        <v>117580</v>
      </c>
      <c r="E34" s="172">
        <f t="shared" si="60"/>
        <v>117580</v>
      </c>
      <c r="F34" s="172">
        <f t="shared" si="60"/>
        <v>123935.95000000001</v>
      </c>
      <c r="G34" s="172">
        <f t="shared" si="60"/>
        <v>123935.95000000001</v>
      </c>
      <c r="H34" s="172">
        <f t="shared" si="60"/>
        <v>123935.95000000001</v>
      </c>
      <c r="I34" s="173">
        <f t="shared" si="60"/>
        <v>130657.3925</v>
      </c>
      <c r="J34" s="174"/>
      <c r="K34" s="163"/>
    </row>
    <row r="35" spans="1:11" ht="15.5">
      <c r="A35" s="75"/>
      <c r="B35" s="162"/>
      <c r="C35" s="162"/>
      <c r="D35" s="162"/>
      <c r="E35" s="162"/>
      <c r="F35" s="162"/>
      <c r="G35" s="162"/>
      <c r="H35" s="162"/>
      <c r="I35" s="162"/>
      <c r="J35" s="162"/>
      <c r="K35" s="163"/>
    </row>
    <row r="36" spans="1:11" ht="15.5">
      <c r="A36" s="78" t="s">
        <v>42</v>
      </c>
      <c r="B36" s="175"/>
      <c r="C36" s="175"/>
      <c r="D36" s="175"/>
      <c r="E36" s="175"/>
      <c r="F36" s="175"/>
      <c r="G36" s="175"/>
      <c r="H36" s="175"/>
      <c r="I36" s="175"/>
      <c r="J36" s="175"/>
      <c r="K36" s="158"/>
    </row>
    <row r="37" spans="1:11" ht="15.5">
      <c r="A37" s="83" t="s">
        <v>43</v>
      </c>
      <c r="B37" s="180">
        <v>14640</v>
      </c>
      <c r="C37" s="181">
        <v>14997</v>
      </c>
      <c r="D37" s="181">
        <f>C37</f>
        <v>14997</v>
      </c>
      <c r="E37" s="181">
        <f>D37*(1+3%)</f>
        <v>15446.91</v>
      </c>
      <c r="F37" s="181">
        <f t="shared" ref="F37:G37" si="61">E37</f>
        <v>15446.91</v>
      </c>
      <c r="G37" s="181">
        <f t="shared" si="61"/>
        <v>15446.91</v>
      </c>
      <c r="H37" s="181">
        <f>G37*(1+3%)</f>
        <v>15910.317300000001</v>
      </c>
      <c r="I37" s="182">
        <f>H37</f>
        <v>15910.317300000001</v>
      </c>
      <c r="J37" s="162"/>
      <c r="K37" s="163"/>
    </row>
    <row r="38" spans="1:11" ht="15.5">
      <c r="A38" s="40" t="s">
        <v>17</v>
      </c>
      <c r="B38" s="171">
        <v>14640</v>
      </c>
      <c r="C38" s="172">
        <v>14997</v>
      </c>
      <c r="D38" s="172">
        <f t="shared" ref="D38:I38" si="62">D37</f>
        <v>14997</v>
      </c>
      <c r="E38" s="172">
        <f t="shared" si="62"/>
        <v>15446.91</v>
      </c>
      <c r="F38" s="172">
        <f t="shared" si="62"/>
        <v>15446.91</v>
      </c>
      <c r="G38" s="172">
        <f t="shared" si="62"/>
        <v>15446.91</v>
      </c>
      <c r="H38" s="172">
        <f t="shared" si="62"/>
        <v>15910.317300000001</v>
      </c>
      <c r="I38" s="173">
        <f t="shared" si="62"/>
        <v>15910.317300000001</v>
      </c>
      <c r="J38" s="174"/>
      <c r="K38" s="163"/>
    </row>
    <row r="40" spans="1:11" ht="15.5">
      <c r="A40" s="183" t="s">
        <v>94</v>
      </c>
      <c r="B40" s="184" t="s">
        <v>38</v>
      </c>
      <c r="C40" s="184" t="s">
        <v>38</v>
      </c>
      <c r="D40" s="185">
        <f t="shared" ref="D40:I40" si="63">SUM(D11,D17,D34,D38)</f>
        <v>262610</v>
      </c>
      <c r="E40" s="185">
        <f>SUM(E11,E17,E34,E38)</f>
        <v>263059.90999999997</v>
      </c>
      <c r="F40" s="185">
        <f>SUM(F11,F17,F34,F38)</f>
        <v>276252.15999999997</v>
      </c>
      <c r="G40" s="185">
        <f t="shared" si="63"/>
        <v>276252.15999999997</v>
      </c>
      <c r="H40" s="185">
        <f t="shared" si="63"/>
        <v>276715.5673</v>
      </c>
      <c r="I40" s="185">
        <f t="shared" si="63"/>
        <v>290648.58980000002</v>
      </c>
      <c r="J40" s="186"/>
    </row>
    <row r="41" spans="1:11" ht="15.5">
      <c r="A41" s="183" t="s">
        <v>95</v>
      </c>
      <c r="B41" s="184" t="s">
        <v>38</v>
      </c>
      <c r="C41" s="184" t="s">
        <v>38</v>
      </c>
      <c r="D41" s="185">
        <f>D40*0.02</f>
        <v>5252.2</v>
      </c>
      <c r="E41" s="185">
        <f>E40*0.02</f>
        <v>5261.1981999999998</v>
      </c>
      <c r="F41" s="185">
        <f>F40*0.02</f>
        <v>5525.0431999999992</v>
      </c>
      <c r="G41" s="185">
        <f>G40*0.02</f>
        <v>5525.0431999999992</v>
      </c>
      <c r="H41" s="185">
        <f t="shared" ref="H41:I41" si="64">H40*0.02</f>
        <v>5534.3113460000004</v>
      </c>
      <c r="I41" s="185">
        <f t="shared" si="64"/>
        <v>5812.9717960000007</v>
      </c>
      <c r="J41" s="186"/>
    </row>
    <row r="42" spans="1:11" ht="15.5">
      <c r="A42" s="187" t="s">
        <v>96</v>
      </c>
      <c r="B42" s="188">
        <f t="shared" ref="B42:C42" si="65">SUM(B11,B17,B34,B38)</f>
        <v>266635</v>
      </c>
      <c r="C42" s="188">
        <f t="shared" si="65"/>
        <v>262610</v>
      </c>
      <c r="D42" s="189">
        <f>D40+D41</f>
        <v>267862.2</v>
      </c>
      <c r="E42" s="189">
        <f t="shared" ref="E42:I42" si="66">E40+E41</f>
        <v>268321.10819999996</v>
      </c>
      <c r="F42" s="189">
        <f t="shared" si="66"/>
        <v>281777.20319999999</v>
      </c>
      <c r="G42" s="189">
        <f t="shared" si="66"/>
        <v>281777.20319999999</v>
      </c>
      <c r="H42" s="189">
        <f t="shared" si="66"/>
        <v>282249.878646</v>
      </c>
      <c r="I42" s="190">
        <f t="shared" si="66"/>
        <v>296461.56159600004</v>
      </c>
      <c r="J42" s="191"/>
    </row>
    <row r="44" spans="1:11" ht="15.5">
      <c r="A44" s="192" t="s">
        <v>97</v>
      </c>
      <c r="B44" s="193">
        <v>0</v>
      </c>
      <c r="C44" s="194">
        <v>0</v>
      </c>
      <c r="D44" s="194">
        <v>50000</v>
      </c>
      <c r="E44" s="194">
        <v>50000</v>
      </c>
      <c r="F44" s="194">
        <v>50000</v>
      </c>
      <c r="G44" s="194">
        <v>50000</v>
      </c>
      <c r="H44" s="194">
        <v>50000</v>
      </c>
      <c r="I44" s="195">
        <v>50000</v>
      </c>
      <c r="J44" s="196"/>
    </row>
    <row r="45" spans="1:11" ht="15.5">
      <c r="A45" s="192" t="s">
        <v>49</v>
      </c>
      <c r="B45" s="177">
        <v>0</v>
      </c>
      <c r="C45" s="178">
        <v>0</v>
      </c>
      <c r="D45" s="178">
        <v>0</v>
      </c>
      <c r="E45" s="165">
        <f>(6000*0.7+1000*2.7)*0.2</f>
        <v>1380</v>
      </c>
      <c r="F45" s="165">
        <f t="shared" ref="F45:G45" si="67">E45*(1+0.2)</f>
        <v>1656</v>
      </c>
      <c r="G45" s="165">
        <f t="shared" si="67"/>
        <v>1987.1999999999998</v>
      </c>
      <c r="H45" s="165">
        <f>G45*(1+5%)*(1+20%)</f>
        <v>2503.8719999999998</v>
      </c>
      <c r="I45" s="166">
        <f>H45*(1+20%)</f>
        <v>3004.6463999999996</v>
      </c>
      <c r="J45" s="162"/>
    </row>
    <row r="46" spans="1:11" ht="15.5">
      <c r="A46" s="192" t="s">
        <v>98</v>
      </c>
      <c r="B46" s="177">
        <v>0</v>
      </c>
      <c r="C46" s="178">
        <v>0</v>
      </c>
      <c r="D46" s="178">
        <v>5000</v>
      </c>
      <c r="E46" s="178">
        <v>10000</v>
      </c>
      <c r="F46" s="178">
        <v>15000</v>
      </c>
      <c r="G46" s="178">
        <v>20000</v>
      </c>
      <c r="H46" s="178">
        <v>30000</v>
      </c>
      <c r="I46" s="197">
        <v>40800</v>
      </c>
      <c r="J46" s="196"/>
    </row>
    <row r="47" spans="1:11" ht="15.5">
      <c r="A47" s="192" t="s">
        <v>99</v>
      </c>
      <c r="B47" s="198">
        <v>2807</v>
      </c>
      <c r="C47" s="199">
        <v>2103</v>
      </c>
      <c r="D47" s="169">
        <f t="shared" ref="D47:I47" si="68">$C47*1.02</f>
        <v>2145.06</v>
      </c>
      <c r="E47" s="169">
        <f t="shared" si="68"/>
        <v>2145.06</v>
      </c>
      <c r="F47" s="169">
        <f t="shared" si="68"/>
        <v>2145.06</v>
      </c>
      <c r="G47" s="169">
        <f t="shared" si="68"/>
        <v>2145.06</v>
      </c>
      <c r="H47" s="169">
        <f t="shared" si="68"/>
        <v>2145.06</v>
      </c>
      <c r="I47" s="170">
        <f t="shared" si="68"/>
        <v>2145.06</v>
      </c>
      <c r="J47" s="162"/>
    </row>
    <row r="48" spans="1:11" ht="15.5">
      <c r="A48" s="154" t="s">
        <v>100</v>
      </c>
      <c r="B48" s="200">
        <f t="shared" ref="B48:I48" si="69">SUM(B42,B44:B47)</f>
        <v>269442</v>
      </c>
      <c r="C48" s="200">
        <f t="shared" si="69"/>
        <v>264713</v>
      </c>
      <c r="D48" s="200">
        <f t="shared" si="69"/>
        <v>325007.26</v>
      </c>
      <c r="E48" s="200">
        <f t="shared" si="69"/>
        <v>331846.16819999996</v>
      </c>
      <c r="F48" s="200">
        <f t="shared" si="69"/>
        <v>350578.26319999999</v>
      </c>
      <c r="G48" s="200">
        <f t="shared" si="69"/>
        <v>355909.4632</v>
      </c>
      <c r="H48" s="200">
        <f t="shared" si="69"/>
        <v>366898.81064599997</v>
      </c>
      <c r="I48" s="201">
        <f t="shared" si="69"/>
        <v>392411.26799600007</v>
      </c>
      <c r="J48" s="174"/>
    </row>
    <row r="49" spans="1:10" ht="15.5">
      <c r="A49" s="192" t="s">
        <v>52</v>
      </c>
      <c r="B49" s="202">
        <v>17979</v>
      </c>
      <c r="C49" s="203">
        <v>6216</v>
      </c>
      <c r="D49" s="160">
        <f>B49*(1.1)</f>
        <v>19776.900000000001</v>
      </c>
      <c r="E49" s="160">
        <f t="shared" ref="E49:I49" si="70">D49*(1.1)</f>
        <v>21754.590000000004</v>
      </c>
      <c r="F49" s="160">
        <f t="shared" si="70"/>
        <v>23930.049000000006</v>
      </c>
      <c r="G49" s="160">
        <f t="shared" si="70"/>
        <v>26323.05390000001</v>
      </c>
      <c r="H49" s="160">
        <f t="shared" si="70"/>
        <v>28955.359290000015</v>
      </c>
      <c r="I49" s="161">
        <f t="shared" si="70"/>
        <v>31850.89521900002</v>
      </c>
      <c r="J49" s="162"/>
    </row>
    <row r="50" spans="1:10" ht="15.5">
      <c r="A50" s="192" t="s">
        <v>53</v>
      </c>
      <c r="B50" s="198">
        <v>149</v>
      </c>
      <c r="C50" s="199">
        <v>149</v>
      </c>
      <c r="D50" s="199">
        <v>149</v>
      </c>
      <c r="E50" s="199">
        <v>149</v>
      </c>
      <c r="F50" s="199">
        <v>149</v>
      </c>
      <c r="G50" s="199">
        <v>149</v>
      </c>
      <c r="H50" s="199">
        <v>149</v>
      </c>
      <c r="I50" s="204">
        <v>149</v>
      </c>
      <c r="J50" s="196"/>
    </row>
    <row r="51" spans="1:10" ht="15.5">
      <c r="A51" s="154"/>
      <c r="B51" s="205">
        <f t="shared" ref="B51:I51" si="71">SUM(B49:B50)</f>
        <v>18128</v>
      </c>
      <c r="C51" s="205">
        <f t="shared" si="71"/>
        <v>6365</v>
      </c>
      <c r="D51" s="205">
        <f t="shared" si="71"/>
        <v>19925.900000000001</v>
      </c>
      <c r="E51" s="205">
        <f t="shared" si="71"/>
        <v>21903.590000000004</v>
      </c>
      <c r="F51" s="205">
        <f t="shared" si="71"/>
        <v>24079.049000000006</v>
      </c>
      <c r="G51" s="205">
        <f t="shared" si="71"/>
        <v>26472.05390000001</v>
      </c>
      <c r="H51" s="205">
        <f t="shared" si="71"/>
        <v>29104.359290000015</v>
      </c>
      <c r="I51" s="206">
        <f t="shared" si="71"/>
        <v>31999.89521900002</v>
      </c>
      <c r="J51" s="162"/>
    </row>
    <row r="52" spans="1:10" ht="14.5">
      <c r="A52" s="207"/>
      <c r="B52" s="207"/>
      <c r="C52" s="207"/>
      <c r="D52" s="207"/>
      <c r="E52" s="207"/>
      <c r="F52" s="207"/>
      <c r="G52" s="207"/>
      <c r="H52" s="207"/>
      <c r="I52" s="207"/>
      <c r="J52" s="207"/>
    </row>
    <row r="53" spans="1:10" ht="15.5">
      <c r="A53" s="208" t="s">
        <v>101</v>
      </c>
      <c r="B53" s="209">
        <f>SUM(B48,B51)</f>
        <v>287570</v>
      </c>
      <c r="C53" s="209">
        <f>271077</f>
        <v>271077</v>
      </c>
      <c r="D53" s="209">
        <f t="shared" ref="D53:I53" si="72">SUM(D48,D51)</f>
        <v>344933.16000000003</v>
      </c>
      <c r="E53" s="209">
        <f t="shared" si="72"/>
        <v>353749.75819999998</v>
      </c>
      <c r="F53" s="209">
        <f t="shared" si="72"/>
        <v>374657.31219999999</v>
      </c>
      <c r="G53" s="209">
        <f t="shared" si="72"/>
        <v>382381.5171</v>
      </c>
      <c r="H53" s="209">
        <f t="shared" si="72"/>
        <v>396003.16993599996</v>
      </c>
      <c r="I53" s="210">
        <f t="shared" si="72"/>
        <v>424411.16321500007</v>
      </c>
      <c r="J53" s="211"/>
    </row>
    <row r="54" spans="1:10" ht="15.5">
      <c r="A54" s="212" t="s">
        <v>102</v>
      </c>
      <c r="B54" s="213">
        <v>-31861</v>
      </c>
      <c r="C54" s="214">
        <v>-39894</v>
      </c>
      <c r="D54" s="215">
        <f t="shared" ref="D54:I54" si="73">-(D53*0.19)</f>
        <v>-65537.300400000007</v>
      </c>
      <c r="E54" s="215">
        <f t="shared" si="73"/>
        <v>-67212.454058000003</v>
      </c>
      <c r="F54" s="215">
        <f t="shared" si="73"/>
        <v>-71184.889318000001</v>
      </c>
      <c r="G54" s="215">
        <f t="shared" si="73"/>
        <v>-72652.488249000002</v>
      </c>
      <c r="H54" s="215">
        <f t="shared" si="73"/>
        <v>-75240.602287839996</v>
      </c>
      <c r="I54" s="216">
        <f t="shared" si="73"/>
        <v>-80638.121010850009</v>
      </c>
      <c r="J54" s="217"/>
    </row>
    <row r="55" spans="1:10" ht="15.5">
      <c r="A55" s="218" t="s">
        <v>103</v>
      </c>
      <c r="B55" s="219">
        <v>-17646</v>
      </c>
      <c r="C55" s="220">
        <v>-19218</v>
      </c>
      <c r="D55" s="221">
        <f t="shared" ref="D55:I55" si="74">-(D53*0.06)</f>
        <v>-20695.989600000001</v>
      </c>
      <c r="E55" s="221">
        <f t="shared" si="74"/>
        <v>-21224.985492</v>
      </c>
      <c r="F55" s="221">
        <f t="shared" si="74"/>
        <v>-22479.438731999999</v>
      </c>
      <c r="G55" s="221">
        <f t="shared" si="74"/>
        <v>-22942.891025999998</v>
      </c>
      <c r="H55" s="221">
        <f t="shared" si="74"/>
        <v>-23760.190196159998</v>
      </c>
      <c r="I55" s="222">
        <f t="shared" si="74"/>
        <v>-25464.669792900004</v>
      </c>
      <c r="J55" s="217"/>
    </row>
    <row r="56" spans="1:10" ht="15.5">
      <c r="A56" s="218" t="s">
        <v>104</v>
      </c>
      <c r="B56" s="219">
        <v>-1957</v>
      </c>
      <c r="C56" s="220">
        <v>-2750</v>
      </c>
      <c r="D56" s="221">
        <f t="shared" ref="D56:I56" si="75">-(D53*0.02)</f>
        <v>-6898.6632000000009</v>
      </c>
      <c r="E56" s="221">
        <f t="shared" si="75"/>
        <v>-7074.9951639999999</v>
      </c>
      <c r="F56" s="221">
        <f t="shared" si="75"/>
        <v>-7493.1462439999996</v>
      </c>
      <c r="G56" s="221">
        <f t="shared" si="75"/>
        <v>-7647.6303420000004</v>
      </c>
      <c r="H56" s="221">
        <f t="shared" si="75"/>
        <v>-7920.063398719999</v>
      </c>
      <c r="I56" s="222">
        <f t="shared" si="75"/>
        <v>-8488.2232643000007</v>
      </c>
      <c r="J56" s="217"/>
    </row>
    <row r="57" spans="1:10" ht="15.5">
      <c r="A57" s="223" t="s">
        <v>105</v>
      </c>
      <c r="B57" s="224">
        <v>278</v>
      </c>
      <c r="C57" s="225">
        <v>4611</v>
      </c>
      <c r="D57" s="226">
        <f t="shared" ref="D57:I57" si="76">(D53*0.01)</f>
        <v>3449.3316000000004</v>
      </c>
      <c r="E57" s="226">
        <f t="shared" si="76"/>
        <v>3537.497582</v>
      </c>
      <c r="F57" s="226">
        <f t="shared" si="76"/>
        <v>3746.5731219999998</v>
      </c>
      <c r="G57" s="226">
        <f t="shared" si="76"/>
        <v>3823.8151710000002</v>
      </c>
      <c r="H57" s="226">
        <f t="shared" si="76"/>
        <v>3960.0316993599995</v>
      </c>
      <c r="I57" s="227">
        <f t="shared" si="76"/>
        <v>4244.1116321500003</v>
      </c>
      <c r="J57" s="217"/>
    </row>
    <row r="58" spans="1:10" ht="15.5">
      <c r="A58" s="208" t="s">
        <v>106</v>
      </c>
      <c r="B58" s="209">
        <f t="shared" ref="B58:I58" si="77">SUM(B54:B57)</f>
        <v>-51186</v>
      </c>
      <c r="C58" s="209">
        <f t="shared" si="77"/>
        <v>-57251</v>
      </c>
      <c r="D58" s="209">
        <f t="shared" si="77"/>
        <v>-89682.621599999999</v>
      </c>
      <c r="E58" s="209">
        <f t="shared" si="77"/>
        <v>-91974.937132000006</v>
      </c>
      <c r="F58" s="209">
        <f t="shared" si="77"/>
        <v>-97410.901171999998</v>
      </c>
      <c r="G58" s="209">
        <f t="shared" si="77"/>
        <v>-99419.194446000009</v>
      </c>
      <c r="H58" s="209">
        <f t="shared" si="77"/>
        <v>-102960.82418335999</v>
      </c>
      <c r="I58" s="210">
        <f t="shared" si="77"/>
        <v>-110346.90243590002</v>
      </c>
      <c r="J58" s="228"/>
    </row>
    <row r="59" spans="1:10" ht="15.5">
      <c r="A59" s="208" t="s">
        <v>107</v>
      </c>
      <c r="B59" s="229">
        <f t="shared" ref="B59:I59" si="78">B53+B58</f>
        <v>236384</v>
      </c>
      <c r="C59" s="229">
        <f t="shared" si="78"/>
        <v>213826</v>
      </c>
      <c r="D59" s="229">
        <f t="shared" si="78"/>
        <v>255250.53840000002</v>
      </c>
      <c r="E59" s="229">
        <f t="shared" si="78"/>
        <v>261774.82106799999</v>
      </c>
      <c r="F59" s="229">
        <f t="shared" si="78"/>
        <v>277246.411028</v>
      </c>
      <c r="G59" s="229">
        <f t="shared" si="78"/>
        <v>282962.32265400002</v>
      </c>
      <c r="H59" s="229">
        <f t="shared" si="78"/>
        <v>293042.34575263999</v>
      </c>
      <c r="I59" s="230">
        <f t="shared" si="78"/>
        <v>314064.26077910006</v>
      </c>
      <c r="J59" s="228"/>
    </row>
    <row r="60" spans="1:10" ht="15.5">
      <c r="A60" s="231" t="s">
        <v>108</v>
      </c>
      <c r="B60" s="232">
        <v>-4413</v>
      </c>
      <c r="C60" s="233">
        <v>-4658</v>
      </c>
      <c r="D60" s="214">
        <v>0</v>
      </c>
      <c r="E60" s="214">
        <v>0</v>
      </c>
      <c r="F60" s="214">
        <v>0</v>
      </c>
      <c r="G60" s="214">
        <v>0</v>
      </c>
      <c r="H60" s="214">
        <v>0</v>
      </c>
      <c r="I60" s="234">
        <v>0</v>
      </c>
      <c r="J60" s="235"/>
    </row>
    <row r="61" spans="1:10" ht="15.5">
      <c r="A61" s="236" t="s">
        <v>109</v>
      </c>
      <c r="B61" s="237">
        <v>9101</v>
      </c>
      <c r="C61" s="238">
        <v>-8845</v>
      </c>
      <c r="D61" s="220">
        <v>0</v>
      </c>
      <c r="E61" s="220">
        <v>0</v>
      </c>
      <c r="F61" s="220">
        <v>0</v>
      </c>
      <c r="G61" s="220">
        <v>0</v>
      </c>
      <c r="H61" s="220">
        <v>0</v>
      </c>
      <c r="I61" s="239">
        <v>0</v>
      </c>
      <c r="J61" s="235"/>
    </row>
    <row r="62" spans="1:10" ht="15.5">
      <c r="A62" s="236" t="s">
        <v>110</v>
      </c>
      <c r="B62" s="237">
        <v>-11896</v>
      </c>
      <c r="C62" s="238">
        <v>-11824</v>
      </c>
      <c r="D62" s="220">
        <v>0</v>
      </c>
      <c r="E62" s="220">
        <v>0</v>
      </c>
      <c r="F62" s="220">
        <v>0</v>
      </c>
      <c r="G62" s="220">
        <v>0</v>
      </c>
      <c r="H62" s="220">
        <v>0</v>
      </c>
      <c r="I62" s="239">
        <v>0</v>
      </c>
      <c r="J62" s="235"/>
    </row>
    <row r="63" spans="1:10" ht="15.5">
      <c r="A63" s="236" t="s">
        <v>111</v>
      </c>
      <c r="B63" s="237">
        <v>99446</v>
      </c>
      <c r="C63" s="238">
        <v>-56028</v>
      </c>
      <c r="D63" s="220">
        <v>0</v>
      </c>
      <c r="E63" s="220">
        <v>0</v>
      </c>
      <c r="F63" s="220">
        <v>0</v>
      </c>
      <c r="G63" s="220">
        <v>0</v>
      </c>
      <c r="H63" s="220">
        <v>0</v>
      </c>
      <c r="I63" s="239">
        <v>0</v>
      </c>
      <c r="J63" s="235"/>
    </row>
    <row r="64" spans="1:10" ht="15.5">
      <c r="A64" s="240" t="s">
        <v>112</v>
      </c>
      <c r="B64" s="241">
        <v>0</v>
      </c>
      <c r="C64" s="242">
        <v>24</v>
      </c>
      <c r="D64" s="225">
        <v>0</v>
      </c>
      <c r="E64" s="225">
        <v>0</v>
      </c>
      <c r="F64" s="225">
        <v>0</v>
      </c>
      <c r="G64" s="225">
        <v>0</v>
      </c>
      <c r="H64" s="225">
        <v>0</v>
      </c>
      <c r="I64" s="243">
        <v>0</v>
      </c>
      <c r="J64" s="235"/>
    </row>
    <row r="65" spans="1:10" ht="15.5">
      <c r="A65" s="208" t="s">
        <v>113</v>
      </c>
      <c r="B65" s="244">
        <v>328621</v>
      </c>
      <c r="C65" s="244">
        <v>132494</v>
      </c>
      <c r="D65" s="209">
        <f t="shared" ref="D65:I65" si="79">SUM(D59:D64)</f>
        <v>255250.53840000002</v>
      </c>
      <c r="E65" s="209">
        <f t="shared" si="79"/>
        <v>261774.82106799999</v>
      </c>
      <c r="F65" s="209">
        <f t="shared" si="79"/>
        <v>277246.411028</v>
      </c>
      <c r="G65" s="209">
        <f t="shared" si="79"/>
        <v>282962.32265400002</v>
      </c>
      <c r="H65" s="209">
        <f t="shared" si="79"/>
        <v>293042.34575263999</v>
      </c>
      <c r="I65" s="210">
        <f t="shared" si="79"/>
        <v>314064.26077910006</v>
      </c>
      <c r="J65" s="228"/>
    </row>
    <row r="66" spans="1:10" ht="15.5">
      <c r="A66" s="231" t="s">
        <v>114</v>
      </c>
      <c r="B66" s="232">
        <v>-85978</v>
      </c>
      <c r="C66" s="233">
        <v>-91805</v>
      </c>
      <c r="D66" s="245">
        <f t="shared" ref="D66:E66" si="80">-52845</f>
        <v>-52845</v>
      </c>
      <c r="E66" s="245">
        <f t="shared" si="80"/>
        <v>-52845</v>
      </c>
      <c r="F66" s="245">
        <v>-42422</v>
      </c>
      <c r="G66" s="245">
        <v>-35766</v>
      </c>
      <c r="H66" s="245">
        <v>-30220</v>
      </c>
      <c r="I66" s="246">
        <v>-20392</v>
      </c>
      <c r="J66" s="247"/>
    </row>
    <row r="67" spans="1:10" ht="15.5">
      <c r="A67" s="236" t="s">
        <v>115</v>
      </c>
      <c r="B67" s="237">
        <v>7764</v>
      </c>
      <c r="C67" s="238">
        <v>5886</v>
      </c>
      <c r="D67" s="220">
        <v>0</v>
      </c>
      <c r="E67" s="220">
        <v>0</v>
      </c>
      <c r="F67" s="220">
        <v>0</v>
      </c>
      <c r="G67" s="220">
        <v>0</v>
      </c>
      <c r="H67" s="220">
        <v>0</v>
      </c>
      <c r="I67" s="239">
        <v>0</v>
      </c>
      <c r="J67" s="235"/>
    </row>
    <row r="68" spans="1:10" ht="15.5">
      <c r="A68" s="248" t="s">
        <v>116</v>
      </c>
      <c r="B68" s="249">
        <v>26678</v>
      </c>
      <c r="C68" s="250">
        <v>21057</v>
      </c>
      <c r="D68" s="251">
        <v>0</v>
      </c>
      <c r="E68" s="251">
        <v>0</v>
      </c>
      <c r="F68" s="251">
        <v>0</v>
      </c>
      <c r="G68" s="251">
        <v>0</v>
      </c>
      <c r="H68" s="251">
        <v>0</v>
      </c>
      <c r="I68" s="252">
        <v>0</v>
      </c>
      <c r="J68" s="235"/>
    </row>
    <row r="69" spans="1:10" ht="15.5">
      <c r="A69" s="253" t="s">
        <v>117</v>
      </c>
      <c r="B69" s="254">
        <v>-51535</v>
      </c>
      <c r="C69" s="254">
        <v>-64844</v>
      </c>
      <c r="D69" s="255">
        <f t="shared" ref="D69:I69" si="81">D66</f>
        <v>-52845</v>
      </c>
      <c r="E69" s="255">
        <f t="shared" si="81"/>
        <v>-52845</v>
      </c>
      <c r="F69" s="255">
        <f t="shared" si="81"/>
        <v>-42422</v>
      </c>
      <c r="G69" s="255">
        <f t="shared" si="81"/>
        <v>-35766</v>
      </c>
      <c r="H69" s="255">
        <f t="shared" si="81"/>
        <v>-30220</v>
      </c>
      <c r="I69" s="256">
        <f t="shared" si="81"/>
        <v>-20392</v>
      </c>
      <c r="J69" s="257"/>
    </row>
    <row r="70" spans="1:10" ht="15.5">
      <c r="A70" s="258" t="s">
        <v>118</v>
      </c>
      <c r="B70" s="259">
        <v>277086</v>
      </c>
      <c r="C70" s="259">
        <v>67651</v>
      </c>
      <c r="D70" s="229">
        <f t="shared" ref="D70:I70" si="82">SUM(D65:D66)</f>
        <v>202405.53840000002</v>
      </c>
      <c r="E70" s="229">
        <f t="shared" si="82"/>
        <v>208929.82106799999</v>
      </c>
      <c r="F70" s="229">
        <f t="shared" si="82"/>
        <v>234824.411028</v>
      </c>
      <c r="G70" s="229">
        <f t="shared" si="82"/>
        <v>247196.32265400002</v>
      </c>
      <c r="H70" s="229">
        <f t="shared" si="82"/>
        <v>262822.34575263999</v>
      </c>
      <c r="I70" s="230">
        <f t="shared" si="82"/>
        <v>293672.26077910006</v>
      </c>
      <c r="J70" s="228"/>
    </row>
    <row r="71" spans="1:10" ht="15.5">
      <c r="A71" s="260" t="s">
        <v>119</v>
      </c>
      <c r="B71" s="261">
        <v>-63396</v>
      </c>
      <c r="C71" s="261">
        <v>-50054</v>
      </c>
      <c r="D71" s="262">
        <f t="shared" ref="D71:I71" si="83">-(D70*0.31)</f>
        <v>-62745.716904000008</v>
      </c>
      <c r="E71" s="262">
        <f t="shared" si="83"/>
        <v>-64768.244531079996</v>
      </c>
      <c r="F71" s="262">
        <f t="shared" si="83"/>
        <v>-72795.567418680002</v>
      </c>
      <c r="G71" s="262">
        <f t="shared" si="83"/>
        <v>-76630.860022740002</v>
      </c>
      <c r="H71" s="262">
        <f t="shared" si="83"/>
        <v>-81474.927183318388</v>
      </c>
      <c r="I71" s="263">
        <f t="shared" si="83"/>
        <v>-91038.400841521012</v>
      </c>
      <c r="J71" s="217"/>
    </row>
    <row r="72" spans="1:10" ht="15.5">
      <c r="A72" s="264" t="s">
        <v>120</v>
      </c>
      <c r="B72" s="265">
        <f t="shared" ref="B72:I72" si="84">B70+B71</f>
        <v>213690</v>
      </c>
      <c r="C72" s="265">
        <f t="shared" si="84"/>
        <v>17597</v>
      </c>
      <c r="D72" s="265">
        <f t="shared" si="84"/>
        <v>139659.82149600002</v>
      </c>
      <c r="E72" s="265">
        <f t="shared" si="84"/>
        <v>144161.57653691998</v>
      </c>
      <c r="F72" s="265">
        <f t="shared" si="84"/>
        <v>162028.84360932</v>
      </c>
      <c r="G72" s="265">
        <f t="shared" si="84"/>
        <v>170565.46263126002</v>
      </c>
      <c r="H72" s="265">
        <f t="shared" si="84"/>
        <v>181347.4185693216</v>
      </c>
      <c r="I72" s="266">
        <f t="shared" si="84"/>
        <v>202633.85993757905</v>
      </c>
      <c r="J72" s="267"/>
    </row>
    <row r="73" spans="1:10" ht="14.5">
      <c r="A73" s="268"/>
      <c r="B73" s="269"/>
      <c r="C73" s="269"/>
      <c r="D73" s="269"/>
      <c r="E73" s="270"/>
      <c r="F73" s="269"/>
      <c r="G73" s="269"/>
      <c r="H73" s="269"/>
      <c r="I73" s="269"/>
      <c r="J73" s="269"/>
    </row>
    <row r="74" spans="1:10" ht="15.5">
      <c r="A74" s="271" t="s">
        <v>121</v>
      </c>
      <c r="B74" s="238">
        <v>4413</v>
      </c>
      <c r="C74" s="272">
        <v>4658</v>
      </c>
      <c r="D74" s="273">
        <v>0</v>
      </c>
      <c r="E74" s="273">
        <v>0</v>
      </c>
      <c r="F74" s="273">
        <v>0</v>
      </c>
      <c r="G74" s="273">
        <v>0</v>
      </c>
      <c r="H74" s="273">
        <v>0</v>
      </c>
      <c r="I74" s="274">
        <v>0</v>
      </c>
      <c r="J74" s="131"/>
    </row>
    <row r="75" spans="1:10" ht="15.5">
      <c r="A75" s="275" t="s">
        <v>122</v>
      </c>
      <c r="B75" s="238">
        <v>-9101</v>
      </c>
      <c r="C75" s="238">
        <v>8845</v>
      </c>
      <c r="D75" s="276">
        <v>0</v>
      </c>
      <c r="E75" s="276">
        <v>0</v>
      </c>
      <c r="F75" s="276">
        <v>0</v>
      </c>
      <c r="G75" s="276">
        <v>0</v>
      </c>
      <c r="H75" s="276">
        <v>0</v>
      </c>
      <c r="I75" s="277">
        <v>0</v>
      </c>
      <c r="J75" s="131"/>
    </row>
    <row r="76" spans="1:10" ht="15.5">
      <c r="A76" s="275" t="s">
        <v>123</v>
      </c>
      <c r="B76" s="238">
        <v>-99446</v>
      </c>
      <c r="C76" s="238">
        <v>56028</v>
      </c>
      <c r="D76" s="276">
        <v>0</v>
      </c>
      <c r="E76" s="276">
        <v>0</v>
      </c>
      <c r="F76" s="276">
        <v>0</v>
      </c>
      <c r="G76" s="276">
        <v>0</v>
      </c>
      <c r="H76" s="276">
        <v>0</v>
      </c>
      <c r="I76" s="277">
        <v>0</v>
      </c>
      <c r="J76" s="131"/>
    </row>
    <row r="77" spans="1:10" ht="15.5">
      <c r="A77" s="275" t="s">
        <v>124</v>
      </c>
      <c r="B77" s="238">
        <v>11896</v>
      </c>
      <c r="C77" s="238">
        <v>11824</v>
      </c>
      <c r="D77" s="276">
        <v>0</v>
      </c>
      <c r="E77" s="276">
        <v>0</v>
      </c>
      <c r="F77" s="276">
        <v>0</v>
      </c>
      <c r="G77" s="276">
        <v>0</v>
      </c>
      <c r="H77" s="276">
        <v>0</v>
      </c>
      <c r="I77" s="277">
        <v>0</v>
      </c>
      <c r="J77" s="131"/>
    </row>
    <row r="78" spans="1:10" ht="15.5">
      <c r="A78" s="278" t="s">
        <v>125</v>
      </c>
      <c r="B78" s="279">
        <v>34864</v>
      </c>
      <c r="C78" s="279">
        <v>32831</v>
      </c>
      <c r="D78" s="279">
        <v>0</v>
      </c>
      <c r="E78" s="279">
        <v>0</v>
      </c>
      <c r="F78" s="279">
        <v>0</v>
      </c>
      <c r="G78" s="279">
        <v>0</v>
      </c>
      <c r="H78" s="279">
        <v>0</v>
      </c>
      <c r="I78" s="280">
        <v>0</v>
      </c>
      <c r="J78" s="131"/>
    </row>
    <row r="79" spans="1:10" ht="15.5">
      <c r="A79" s="281" t="s">
        <v>83</v>
      </c>
      <c r="B79" s="282">
        <f t="shared" ref="B79:I79" si="85">SUM(B72,B74:B78)</f>
        <v>156316</v>
      </c>
      <c r="C79" s="282">
        <f t="shared" si="85"/>
        <v>131783</v>
      </c>
      <c r="D79" s="283">
        <f t="shared" si="85"/>
        <v>139659.82149600002</v>
      </c>
      <c r="E79" s="283">
        <f t="shared" si="85"/>
        <v>144161.57653691998</v>
      </c>
      <c r="F79" s="283">
        <f t="shared" si="85"/>
        <v>162028.84360932</v>
      </c>
      <c r="G79" s="283">
        <f t="shared" si="85"/>
        <v>170565.46263126002</v>
      </c>
      <c r="H79" s="283">
        <f t="shared" si="85"/>
        <v>181347.4185693216</v>
      </c>
      <c r="I79" s="284">
        <f t="shared" si="85"/>
        <v>202633.85993757905</v>
      </c>
      <c r="J79" s="285"/>
    </row>
    <row r="80" spans="1:10" ht="15.5">
      <c r="A80" s="286" t="s">
        <v>126</v>
      </c>
      <c r="B80" s="287"/>
      <c r="C80" s="288"/>
      <c r="D80" s="289">
        <f t="shared" ref="D80:I80" si="86">0.85*D79</f>
        <v>118710.84827160001</v>
      </c>
      <c r="E80" s="289">
        <f t="shared" si="86"/>
        <v>122537.34005638197</v>
      </c>
      <c r="F80" s="289">
        <f t="shared" si="86"/>
        <v>137724.51706792199</v>
      </c>
      <c r="G80" s="289">
        <f t="shared" si="86"/>
        <v>144980.64323657102</v>
      </c>
      <c r="H80" s="289">
        <f t="shared" si="86"/>
        <v>154145.30578392337</v>
      </c>
      <c r="I80" s="289">
        <f t="shared" si="86"/>
        <v>172238.78094694219</v>
      </c>
      <c r="J80" s="289"/>
    </row>
    <row r="83" spans="1:16" ht="14.5">
      <c r="A83" s="115" t="s">
        <v>127</v>
      </c>
    </row>
    <row r="84" spans="1:16" ht="15.5">
      <c r="B84" s="12">
        <v>2022</v>
      </c>
      <c r="C84" s="12">
        <v>2023</v>
      </c>
      <c r="D84" s="12">
        <v>2024</v>
      </c>
      <c r="E84" s="12">
        <v>2025</v>
      </c>
      <c r="F84" s="13">
        <v>2026</v>
      </c>
      <c r="G84" s="13"/>
      <c r="I84" s="103" t="s">
        <v>62</v>
      </c>
      <c r="J84" s="123">
        <v>2.3199999999999998E-2</v>
      </c>
      <c r="L84" s="103" t="s">
        <v>63</v>
      </c>
      <c r="M84" s="123">
        <v>6.2300000000000001E-2</v>
      </c>
      <c r="O84" s="115" t="s">
        <v>68</v>
      </c>
      <c r="P84" s="115">
        <v>0.45</v>
      </c>
    </row>
    <row r="85" spans="1:16" ht="15.5">
      <c r="A85" s="290" t="s">
        <v>126</v>
      </c>
      <c r="B85" s="205">
        <f t="shared" ref="B85:F85" si="87">E80</f>
        <v>122537.34005638197</v>
      </c>
      <c r="C85" s="205">
        <f t="shared" si="87"/>
        <v>137724.51706792199</v>
      </c>
      <c r="D85" s="205">
        <f t="shared" si="87"/>
        <v>144980.64323657102</v>
      </c>
      <c r="E85" s="205">
        <f t="shared" si="87"/>
        <v>154145.30578392337</v>
      </c>
      <c r="F85" s="205">
        <f t="shared" si="87"/>
        <v>172238.78094694219</v>
      </c>
      <c r="G85" s="205"/>
      <c r="K85" s="103"/>
      <c r="L85" s="103"/>
    </row>
    <row r="86" spans="1:16" ht="15.5">
      <c r="A86" s="192" t="s">
        <v>128</v>
      </c>
      <c r="B86" s="205">
        <f>1/(1+$J111)</f>
        <v>0.93984962406015038</v>
      </c>
      <c r="C86" s="205">
        <f>1/(1+$J111)^2</f>
        <v>0.88331731584600581</v>
      </c>
      <c r="D86" s="205">
        <f>1/(1+$J111)^3</f>
        <v>0.83018544722368959</v>
      </c>
      <c r="E86" s="205">
        <f>1/(1+$J111)^4</f>
        <v>0.78024948047339238</v>
      </c>
      <c r="F86" s="205">
        <f>1/(1+$J111)^5</f>
        <v>0.73331718089604547</v>
      </c>
      <c r="G86" s="205"/>
      <c r="I86" s="29"/>
      <c r="J86" s="29"/>
      <c r="K86" s="125"/>
      <c r="L86" s="126"/>
    </row>
    <row r="87" spans="1:16" ht="15.5">
      <c r="A87" s="192" t="s">
        <v>129</v>
      </c>
      <c r="B87" s="205">
        <f>B85*B86</f>
        <v>115166.67298532141</v>
      </c>
      <c r="C87" s="205">
        <f t="shared" ref="C87:F87" si="88">C85*C86</f>
        <v>121654.45074262426</v>
      </c>
      <c r="D87" s="205">
        <f t="shared" si="88"/>
        <v>120360.82014413091</v>
      </c>
      <c r="E87" s="205">
        <f t="shared" si="88"/>
        <v>120271.79475531841</v>
      </c>
      <c r="F87" s="205">
        <f t="shared" si="88"/>
        <v>126305.65728498316</v>
      </c>
      <c r="G87" s="205"/>
      <c r="I87" s="291"/>
      <c r="J87" s="292"/>
      <c r="K87" s="293" t="s">
        <v>66</v>
      </c>
      <c r="L87" s="294" t="s">
        <v>67</v>
      </c>
    </row>
    <row r="88" spans="1:16" ht="15.5">
      <c r="A88" s="192" t="s">
        <v>130</v>
      </c>
      <c r="B88" s="205"/>
      <c r="C88" s="205"/>
      <c r="D88" s="205"/>
      <c r="E88" s="205"/>
      <c r="F88" s="205">
        <f>(F85*(1+0.025))/($L89-0.025)</f>
        <v>5721261.7700310312</v>
      </c>
      <c r="G88" s="205"/>
      <c r="I88" s="295" t="s">
        <v>70</v>
      </c>
      <c r="J88" s="296">
        <v>0.5</v>
      </c>
      <c r="K88" s="297">
        <f>J88*(1+(1-31%)*P84)</f>
        <v>0.65525</v>
      </c>
      <c r="L88" s="298">
        <f>2.32%+(K88*6.23%)</f>
        <v>6.4022074999999998E-2</v>
      </c>
    </row>
    <row r="89" spans="1:16" ht="14.5">
      <c r="I89" s="299" t="s">
        <v>70</v>
      </c>
      <c r="J89" s="300">
        <v>0.4</v>
      </c>
      <c r="K89" s="297">
        <f>J89*(1+(1-31%)*P84)</f>
        <v>0.5242</v>
      </c>
      <c r="L89" s="298">
        <f t="shared" ref="L89" si="89">2.32%+(K89*6.23%)</f>
        <v>5.5857659999999996E-2</v>
      </c>
    </row>
    <row r="90" spans="1:16" ht="15.5">
      <c r="A90" s="192" t="s">
        <v>131</v>
      </c>
      <c r="B90" s="205">
        <f>SUM(B87:F87)</f>
        <v>603759.39591237821</v>
      </c>
      <c r="I90" s="299" t="s">
        <v>70</v>
      </c>
      <c r="J90" s="300">
        <v>0.15</v>
      </c>
      <c r="K90" s="297">
        <f>J90*(1+(1-31%)*P84)</f>
        <v>0.196575</v>
      </c>
      <c r="L90" s="298">
        <f>2.32%+(K90*6.23%)</f>
        <v>3.5446622499999997E-2</v>
      </c>
    </row>
    <row r="91" spans="1:16" ht="15.5">
      <c r="A91" s="301" t="s">
        <v>132</v>
      </c>
      <c r="B91" s="302">
        <f>F88*F86</f>
        <v>4195499.5523674749</v>
      </c>
    </row>
    <row r="92" spans="1:16" ht="15.5">
      <c r="A92" s="301" t="s">
        <v>133</v>
      </c>
      <c r="B92" s="303">
        <v>596029</v>
      </c>
      <c r="C92" s="76"/>
      <c r="D92" s="76"/>
      <c r="E92" s="76"/>
      <c r="F92" s="76"/>
      <c r="G92" s="76"/>
    </row>
    <row r="93" spans="1:16" ht="15.5">
      <c r="A93" s="301" t="s">
        <v>134</v>
      </c>
      <c r="B93" s="304">
        <f>SUM(B90:B92)</f>
        <v>5395287.948279853</v>
      </c>
    </row>
    <row r="94" spans="1:16" ht="15.5">
      <c r="A94" s="301" t="s">
        <v>135</v>
      </c>
      <c r="B94" s="302">
        <v>10645783</v>
      </c>
      <c r="C94" s="132"/>
      <c r="D94" s="132"/>
      <c r="E94" s="132"/>
      <c r="F94" s="132"/>
      <c r="G94" s="132"/>
    </row>
    <row r="95" spans="1:16" ht="15.5">
      <c r="A95" s="301" t="s">
        <v>136</v>
      </c>
      <c r="B95" s="305">
        <f>(B93/B94)*1000</f>
        <v>506.80048130605826</v>
      </c>
    </row>
    <row r="96" spans="1:16" ht="15.5">
      <c r="A96" s="135"/>
      <c r="B96" s="306"/>
    </row>
    <row r="97" spans="1:12" ht="14.5">
      <c r="A97" s="115" t="s">
        <v>137</v>
      </c>
    </row>
    <row r="99" spans="1:12" ht="15.5">
      <c r="B99" s="12">
        <v>2022</v>
      </c>
      <c r="C99" s="12">
        <v>2023</v>
      </c>
      <c r="D99" s="12">
        <v>2024</v>
      </c>
      <c r="E99" s="12">
        <v>2025</v>
      </c>
      <c r="F99" s="13">
        <v>2026</v>
      </c>
      <c r="G99" s="13"/>
      <c r="J99" s="115" t="s">
        <v>138</v>
      </c>
      <c r="K99" s="115" t="s">
        <v>139</v>
      </c>
      <c r="L99" s="115" t="s">
        <v>140</v>
      </c>
    </row>
    <row r="100" spans="1:12" ht="15.5">
      <c r="A100" s="290" t="s">
        <v>126</v>
      </c>
      <c r="B100" s="205">
        <f t="shared" ref="B100:F100" si="90">B85</f>
        <v>122537.34005638197</v>
      </c>
      <c r="C100" s="205">
        <f t="shared" si="90"/>
        <v>137724.51706792199</v>
      </c>
      <c r="D100" s="205">
        <f t="shared" si="90"/>
        <v>144980.64323657102</v>
      </c>
      <c r="E100" s="205">
        <f t="shared" si="90"/>
        <v>154145.30578392337</v>
      </c>
      <c r="F100" s="205">
        <f t="shared" si="90"/>
        <v>172238.78094694219</v>
      </c>
      <c r="G100" s="205"/>
      <c r="I100" s="115" t="s">
        <v>141</v>
      </c>
      <c r="J100" s="115">
        <v>0.15</v>
      </c>
      <c r="K100" s="115">
        <v>0.4</v>
      </c>
      <c r="L100" s="115">
        <v>0.5</v>
      </c>
    </row>
    <row r="101" spans="1:12" ht="15.5">
      <c r="A101" s="192" t="s">
        <v>128</v>
      </c>
      <c r="B101" s="205">
        <f>1/(1+$L90)</f>
        <v>0.96576682783085699</v>
      </c>
      <c r="C101" s="205">
        <f>1/(1+$L90)^2</f>
        <v>0.93270556573847618</v>
      </c>
      <c r="D101" s="205">
        <f>1/(1+$L90)^3</f>
        <v>0.90077609552343307</v>
      </c>
      <c r="E101" s="205">
        <f>1/(1+$L90)^4</f>
        <v>0.86993967235953096</v>
      </c>
      <c r="F101" s="205">
        <f>1/(1+$L90)^5</f>
        <v>0.84015887777887932</v>
      </c>
      <c r="G101" s="205"/>
      <c r="I101" s="115" t="s">
        <v>142</v>
      </c>
      <c r="J101" s="32">
        <f>J100*(1+(1-31%)*$P84)</f>
        <v>0.196575</v>
      </c>
      <c r="K101" s="32">
        <f t="shared" ref="K101:L101" si="91">K100*(1+(1-31%)*$P84)</f>
        <v>0.5242</v>
      </c>
      <c r="L101" s="32">
        <f t="shared" si="91"/>
        <v>0.65525</v>
      </c>
    </row>
    <row r="102" spans="1:12" ht="15.5">
      <c r="A102" s="192" t="s">
        <v>129</v>
      </c>
      <c r="B102" s="205">
        <f t="shared" ref="B102:F102" si="92">B100*B101</f>
        <v>118342.49819708303</v>
      </c>
      <c r="C102" s="205">
        <f t="shared" si="92"/>
        <v>128456.4236078946</v>
      </c>
      <c r="D102" s="205">
        <f t="shared" si="92"/>
        <v>130595.09774111427</v>
      </c>
      <c r="E102" s="205">
        <f t="shared" si="92"/>
        <v>134097.11680942599</v>
      </c>
      <c r="F102" s="205">
        <f t="shared" si="92"/>
        <v>144707.94091038516</v>
      </c>
      <c r="G102" s="205"/>
      <c r="I102" s="115" t="s">
        <v>143</v>
      </c>
      <c r="J102" s="146">
        <f>2.32%+(J101*6.23%)</f>
        <v>3.5446622499999997E-2</v>
      </c>
      <c r="K102" s="146">
        <f>2.32%+(K101*6.23%)</f>
        <v>5.5857659999999996E-2</v>
      </c>
      <c r="L102" s="146">
        <f t="shared" ref="L102" si="93">2.32%+(L101*6.23%)</f>
        <v>6.4022074999999998E-2</v>
      </c>
    </row>
    <row r="103" spans="1:12" ht="15.5">
      <c r="A103" s="192" t="s">
        <v>130</v>
      </c>
      <c r="B103" s="205"/>
      <c r="C103" s="205"/>
      <c r="D103" s="205"/>
      <c r="E103" s="205"/>
      <c r="F103" s="307">
        <f>(F100*(1+0.01))/($L90-0.01)</f>
        <v>6836316.6371651739</v>
      </c>
      <c r="G103" s="205"/>
      <c r="I103" s="115" t="s">
        <v>144</v>
      </c>
      <c r="J103" s="115">
        <v>1015.22</v>
      </c>
      <c r="K103" s="32">
        <v>464.74634457731247</v>
      </c>
      <c r="L103" s="32">
        <v>387.56607655876473</v>
      </c>
    </row>
    <row r="105" spans="1:12" ht="15.5">
      <c r="A105" s="192" t="s">
        <v>131</v>
      </c>
      <c r="B105" s="205">
        <f>SUM(B102:G102)</f>
        <v>656199.07726590312</v>
      </c>
    </row>
    <row r="106" spans="1:12" ht="15.5">
      <c r="A106" s="301" t="s">
        <v>132</v>
      </c>
      <c r="B106" s="302">
        <f>F103*F101</f>
        <v>5743592.1140217744</v>
      </c>
    </row>
    <row r="107" spans="1:12" ht="15.5">
      <c r="A107" s="301" t="s">
        <v>133</v>
      </c>
      <c r="B107" s="303">
        <v>596029</v>
      </c>
      <c r="C107" s="76"/>
      <c r="D107" s="76"/>
      <c r="E107" s="76"/>
      <c r="F107" s="76"/>
      <c r="G107" s="76"/>
    </row>
    <row r="108" spans="1:12" ht="15.5">
      <c r="A108" s="301" t="s">
        <v>134</v>
      </c>
      <c r="B108" s="304">
        <f>SUM(B105:B107)</f>
        <v>6995820.1912876777</v>
      </c>
    </row>
    <row r="109" spans="1:12" ht="15.5">
      <c r="A109" s="301" t="s">
        <v>135</v>
      </c>
      <c r="B109" s="302">
        <v>10645783</v>
      </c>
      <c r="C109" s="132"/>
      <c r="D109" s="132"/>
      <c r="E109" s="132"/>
      <c r="F109" s="132"/>
      <c r="G109" s="132"/>
    </row>
    <row r="110" spans="1:12" ht="17.25" customHeight="1">
      <c r="A110" s="301" t="s">
        <v>136</v>
      </c>
      <c r="B110" s="305">
        <f>(B108/B109)*1000</f>
        <v>657.1447296349811</v>
      </c>
      <c r="D110" s="308"/>
      <c r="E110" s="308"/>
      <c r="F110" s="495" t="s">
        <v>143</v>
      </c>
      <c r="G110" s="493"/>
      <c r="H110" s="493"/>
      <c r="I110" s="493"/>
      <c r="J110" s="496"/>
    </row>
    <row r="111" spans="1:12" ht="15.75" customHeight="1">
      <c r="A111" s="135"/>
      <c r="B111" s="306"/>
      <c r="D111" s="308"/>
      <c r="E111" s="308"/>
      <c r="F111" s="309">
        <v>5.2999999999999999E-2</v>
      </c>
      <c r="G111" s="309">
        <v>5.3999999999999999E-2</v>
      </c>
      <c r="H111" s="309">
        <v>5.5899999999999998E-2</v>
      </c>
      <c r="I111" s="309">
        <v>6.2E-2</v>
      </c>
      <c r="J111" s="309">
        <v>6.4000000000000001E-2</v>
      </c>
    </row>
    <row r="112" spans="1:12" ht="16.5" customHeight="1">
      <c r="D112" s="497" t="s">
        <v>145</v>
      </c>
      <c r="E112" s="310">
        <v>1.4999999999999999E-2</v>
      </c>
      <c r="F112" s="311">
        <v>424.98</v>
      </c>
      <c r="G112" s="312">
        <v>423.34</v>
      </c>
      <c r="H112" s="312">
        <v>420.25</v>
      </c>
      <c r="I112" s="312">
        <v>410.55</v>
      </c>
      <c r="J112" s="313">
        <v>407.44</v>
      </c>
    </row>
    <row r="113" spans="2:10" ht="14.5">
      <c r="D113" s="498"/>
      <c r="E113" s="310">
        <v>1.7500000000000002E-2</v>
      </c>
      <c r="F113" s="314">
        <v>446.03</v>
      </c>
      <c r="G113" s="315">
        <v>444.29</v>
      </c>
      <c r="H113" s="315">
        <v>441.02</v>
      </c>
      <c r="I113" s="315">
        <v>430.72</v>
      </c>
      <c r="J113" s="316">
        <v>427.42</v>
      </c>
    </row>
    <row r="114" spans="2:10" ht="14.5">
      <c r="D114" s="498"/>
      <c r="E114" s="310">
        <v>0.02</v>
      </c>
      <c r="F114" s="314">
        <v>470.02</v>
      </c>
      <c r="G114" s="315">
        <v>468.16</v>
      </c>
      <c r="H114" s="317">
        <v>464.67</v>
      </c>
      <c r="I114" s="315">
        <v>453.71</v>
      </c>
      <c r="J114" s="316">
        <v>450.19</v>
      </c>
    </row>
    <row r="115" spans="2:10" ht="14.5">
      <c r="B115" s="318"/>
      <c r="C115" s="319"/>
      <c r="D115" s="498"/>
      <c r="E115" s="310">
        <v>2.2499999999999999E-2</v>
      </c>
      <c r="F115" s="320">
        <v>497.59510334224717</v>
      </c>
      <c r="G115" s="315">
        <v>495.61</v>
      </c>
      <c r="H115" s="315">
        <v>491.87</v>
      </c>
      <c r="I115" s="315">
        <v>480.14</v>
      </c>
      <c r="J115" s="316">
        <v>476.38</v>
      </c>
    </row>
    <row r="116" spans="2:10" ht="14.5">
      <c r="B116" s="321"/>
      <c r="C116" s="322"/>
      <c r="D116" s="499"/>
      <c r="E116" s="310">
        <v>2.5000000000000001E-2</v>
      </c>
      <c r="F116" s="323">
        <v>529.64</v>
      </c>
      <c r="G116" s="324">
        <v>527.51</v>
      </c>
      <c r="H116" s="324">
        <v>523.46</v>
      </c>
      <c r="I116" s="324">
        <v>510.85</v>
      </c>
      <c r="J116" s="325">
        <v>506.8</v>
      </c>
    </row>
    <row r="117" spans="2:10" ht="14.5">
      <c r="B117" s="321"/>
      <c r="C117" s="322"/>
    </row>
    <row r="118" spans="2:10" ht="14.5">
      <c r="B118" s="321"/>
      <c r="C118" s="322"/>
    </row>
    <row r="119" spans="2:10" ht="14.5">
      <c r="B119" s="321"/>
      <c r="C119" s="322"/>
    </row>
    <row r="120" spans="2:10" ht="14.5">
      <c r="B120" s="321"/>
      <c r="C120" s="322"/>
    </row>
    <row r="121" spans="2:10" ht="14.5">
      <c r="B121" s="321"/>
      <c r="C121" s="322"/>
    </row>
    <row r="122" spans="2:10" ht="14.5">
      <c r="B122" s="321"/>
      <c r="C122" s="322"/>
    </row>
    <row r="123" spans="2:10" ht="14.5">
      <c r="B123" s="321"/>
      <c r="C123" s="322"/>
    </row>
    <row r="124" spans="2:10" ht="14.5">
      <c r="B124" s="321"/>
      <c r="C124" s="322"/>
    </row>
    <row r="125" spans="2:10" ht="14.5">
      <c r="B125" s="326"/>
      <c r="C125" s="327"/>
    </row>
    <row r="126" spans="2:10" ht="14.5">
      <c r="B126" s="328"/>
      <c r="C126" s="329"/>
    </row>
  </sheetData>
  <mergeCells count="2">
    <mergeCell ref="F110:J110"/>
    <mergeCell ref="D112:D1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J125"/>
  <sheetViews>
    <sheetView tabSelected="1" zoomScale="90" zoomScaleNormal="90" workbookViewId="0">
      <selection activeCell="C14" sqref="C14"/>
    </sheetView>
  </sheetViews>
  <sheetFormatPr baseColWidth="10" defaultColWidth="12.6640625" defaultRowHeight="15" customHeight="1"/>
  <cols>
    <col min="1" max="1" width="36.6640625" customWidth="1"/>
    <col min="2" max="2" width="12.9140625" customWidth="1"/>
    <col min="3" max="3" width="17.4140625" customWidth="1"/>
    <col min="4" max="4" width="12.6640625" customWidth="1"/>
    <col min="5" max="5" width="12.1640625" customWidth="1"/>
    <col min="6" max="6" width="12.9140625" customWidth="1"/>
    <col min="7" max="7" width="12" customWidth="1"/>
    <col min="8" max="8" width="11.9140625" customWidth="1"/>
    <col min="9" max="9" width="12.5" customWidth="1"/>
  </cols>
  <sheetData>
    <row r="1" spans="1:10" ht="14.5">
      <c r="A1" s="333" t="s">
        <v>2</v>
      </c>
      <c r="B1" s="330">
        <v>2019</v>
      </c>
      <c r="C1" s="331">
        <v>2020</v>
      </c>
      <c r="D1" s="331" t="s">
        <v>146</v>
      </c>
      <c r="E1" s="331" t="s">
        <v>147</v>
      </c>
      <c r="F1" s="331" t="s">
        <v>148</v>
      </c>
      <c r="G1" s="331" t="s">
        <v>149</v>
      </c>
      <c r="H1" s="331" t="s">
        <v>150</v>
      </c>
      <c r="I1" s="332" t="s">
        <v>151</v>
      </c>
    </row>
    <row r="2" spans="1:10" ht="14.5">
      <c r="A2" s="335" t="s">
        <v>3</v>
      </c>
      <c r="B2" s="500">
        <v>8969</v>
      </c>
      <c r="C2" s="501">
        <v>9011</v>
      </c>
      <c r="D2" s="501">
        <v>9011</v>
      </c>
      <c r="E2" s="501">
        <v>9011</v>
      </c>
      <c r="F2" s="501">
        <v>9461.5500000000011</v>
      </c>
      <c r="G2" s="501">
        <v>9461.5500000000011</v>
      </c>
      <c r="H2" s="501">
        <v>9461.5500000000011</v>
      </c>
      <c r="I2" s="502">
        <v>9934.6275000000023</v>
      </c>
      <c r="J2" s="334"/>
    </row>
    <row r="3" spans="1:10" ht="14.5">
      <c r="A3" s="339" t="s">
        <v>5</v>
      </c>
      <c r="B3" s="503">
        <v>8489</v>
      </c>
      <c r="C3" s="504">
        <v>8152</v>
      </c>
      <c r="D3" s="504">
        <v>8152</v>
      </c>
      <c r="E3" s="504">
        <v>8152</v>
      </c>
      <c r="F3" s="504">
        <v>8559.6</v>
      </c>
      <c r="G3" s="504">
        <v>8559.6</v>
      </c>
      <c r="H3" s="504">
        <v>8559.6</v>
      </c>
      <c r="I3" s="505">
        <v>8987.58</v>
      </c>
      <c r="J3" s="334"/>
    </row>
    <row r="4" spans="1:10" ht="14.5">
      <c r="A4" s="339" t="s">
        <v>7</v>
      </c>
      <c r="B4" s="503">
        <v>8444</v>
      </c>
      <c r="C4" s="504">
        <v>8271</v>
      </c>
      <c r="D4" s="504">
        <v>8271</v>
      </c>
      <c r="E4" s="504">
        <v>8271</v>
      </c>
      <c r="F4" s="504">
        <v>8684.5500000000011</v>
      </c>
      <c r="G4" s="504">
        <v>8684.5500000000011</v>
      </c>
      <c r="H4" s="504">
        <v>8684.5500000000011</v>
      </c>
      <c r="I4" s="505">
        <v>9118.777500000002</v>
      </c>
      <c r="J4" s="334"/>
    </row>
    <row r="5" spans="1:10" ht="14.5">
      <c r="A5" s="339" t="s">
        <v>9</v>
      </c>
      <c r="B5" s="503">
        <v>8735</v>
      </c>
      <c r="C5" s="504">
        <v>8735</v>
      </c>
      <c r="D5" s="504">
        <v>8735</v>
      </c>
      <c r="E5" s="504">
        <v>8735</v>
      </c>
      <c r="F5" s="504">
        <v>9171.75</v>
      </c>
      <c r="G5" s="504">
        <v>9171.75</v>
      </c>
      <c r="H5" s="504">
        <v>9171.75</v>
      </c>
      <c r="I5" s="505">
        <v>9630.3374999999996</v>
      </c>
      <c r="J5" s="334"/>
    </row>
    <row r="6" spans="1:10" ht="14.5">
      <c r="A6" s="339" t="s">
        <v>11</v>
      </c>
      <c r="B6" s="503">
        <v>5060</v>
      </c>
      <c r="C6" s="504">
        <v>5601</v>
      </c>
      <c r="D6" s="504">
        <v>5601</v>
      </c>
      <c r="E6" s="504">
        <v>5601</v>
      </c>
      <c r="F6" s="504">
        <v>5881.05</v>
      </c>
      <c r="G6" s="504">
        <v>5881.05</v>
      </c>
      <c r="H6" s="504">
        <v>5881.05</v>
      </c>
      <c r="I6" s="505">
        <v>6175.1025000000009</v>
      </c>
      <c r="J6" s="334"/>
    </row>
    <row r="7" spans="1:10" ht="14.5">
      <c r="A7" s="339" t="s">
        <v>13</v>
      </c>
      <c r="B7" s="503">
        <v>3432</v>
      </c>
      <c r="C7" s="504">
        <v>3321</v>
      </c>
      <c r="D7" s="504">
        <v>3321</v>
      </c>
      <c r="E7" s="504">
        <v>3321</v>
      </c>
      <c r="F7" s="504">
        <v>3653.1000000000004</v>
      </c>
      <c r="G7" s="504">
        <v>3653.1000000000004</v>
      </c>
      <c r="H7" s="504">
        <v>3653.1000000000004</v>
      </c>
      <c r="I7" s="505">
        <v>4018.4100000000008</v>
      </c>
      <c r="J7" s="334"/>
    </row>
    <row r="8" spans="1:10" thickBot="1">
      <c r="A8" s="343" t="s">
        <v>15</v>
      </c>
      <c r="B8" s="506">
        <v>3297</v>
      </c>
      <c r="C8" s="507">
        <v>3372</v>
      </c>
      <c r="D8" s="507">
        <v>3372</v>
      </c>
      <c r="E8" s="507">
        <v>3372</v>
      </c>
      <c r="F8" s="507">
        <v>3709.2000000000003</v>
      </c>
      <c r="G8" s="507">
        <v>3709.2000000000003</v>
      </c>
      <c r="H8" s="507">
        <v>3709.2000000000003</v>
      </c>
      <c r="I8" s="508">
        <v>4080.1200000000008</v>
      </c>
      <c r="J8" s="334"/>
    </row>
    <row r="9" spans="1:10" thickBot="1">
      <c r="A9" s="347" t="s">
        <v>17</v>
      </c>
      <c r="B9" s="479">
        <v>46426</v>
      </c>
      <c r="C9" s="480">
        <v>46463</v>
      </c>
      <c r="D9" s="480">
        <v>46463</v>
      </c>
      <c r="E9" s="480">
        <v>46463</v>
      </c>
      <c r="F9" s="480">
        <v>49120.800000000003</v>
      </c>
      <c r="G9" s="480">
        <v>49120.800000000003</v>
      </c>
      <c r="H9" s="480">
        <v>49120.800000000003</v>
      </c>
      <c r="I9" s="481">
        <v>51944.955000000016</v>
      </c>
      <c r="J9" s="334"/>
    </row>
    <row r="10" spans="1:10" ht="14.5">
      <c r="J10" s="334"/>
    </row>
    <row r="11" spans="1:10" ht="14.5">
      <c r="A11" s="351"/>
      <c r="B11" s="351"/>
      <c r="C11" s="351"/>
      <c r="D11" s="351"/>
      <c r="E11" s="351"/>
      <c r="F11" s="351"/>
      <c r="G11" s="351"/>
      <c r="H11" s="351"/>
      <c r="I11" s="351"/>
      <c r="J11" s="352"/>
    </row>
    <row r="12" spans="1:10" ht="14.5">
      <c r="A12" s="334"/>
    </row>
    <row r="13" spans="1:10" ht="14.5">
      <c r="A13" s="334"/>
    </row>
    <row r="14" spans="1:10" ht="14.5">
      <c r="A14" s="334"/>
    </row>
    <row r="15" spans="1:10" ht="14.5">
      <c r="A15" s="334"/>
    </row>
    <row r="16" spans="1:10" ht="14.5">
      <c r="A16" s="334"/>
    </row>
    <row r="17" spans="1:10" ht="14.5">
      <c r="A17" s="351"/>
      <c r="B17" s="351"/>
      <c r="C17" s="351"/>
      <c r="D17" s="351"/>
      <c r="E17" s="351"/>
      <c r="F17" s="351"/>
      <c r="G17" s="351"/>
      <c r="H17" s="351"/>
      <c r="I17" s="351"/>
      <c r="J17" s="352"/>
    </row>
    <row r="18" spans="1:10" ht="14.5">
      <c r="A18" s="334"/>
    </row>
    <row r="19" spans="1:10" ht="14.5">
      <c r="A19" s="334"/>
    </row>
    <row r="20" spans="1:10" ht="14.5">
      <c r="A20" s="334"/>
    </row>
    <row r="21" spans="1:10" ht="14.5">
      <c r="A21" s="334"/>
    </row>
    <row r="22" spans="1:10" ht="14.5">
      <c r="A22" s="334"/>
    </row>
    <row r="23" spans="1:10" ht="14.5">
      <c r="A23" s="334"/>
    </row>
    <row r="24" spans="1:10" ht="14.5">
      <c r="A24" s="334"/>
    </row>
    <row r="25" spans="1:10" ht="14.5">
      <c r="A25" s="334"/>
    </row>
    <row r="26" spans="1:10" ht="14.5">
      <c r="A26" s="334"/>
    </row>
    <row r="27" spans="1:10" ht="14.5">
      <c r="A27" s="334"/>
    </row>
    <row r="28" spans="1:10" ht="14.5">
      <c r="A28" s="334"/>
    </row>
    <row r="29" spans="1:10" ht="14.5">
      <c r="A29" s="334"/>
    </row>
    <row r="30" spans="1:10" ht="14.5">
      <c r="A30" s="334"/>
    </row>
    <row r="31" spans="1:10" ht="14"/>
    <row r="32" spans="1:10" ht="14"/>
    <row r="33" spans="1:10" ht="14"/>
    <row r="34" spans="1:10" ht="14.5">
      <c r="A34" s="352"/>
    </row>
    <row r="35" spans="1:10" ht="14"/>
    <row r="36" spans="1:10" ht="14"/>
    <row r="37" spans="1:10" ht="14"/>
    <row r="38" spans="1:10" ht="14.5">
      <c r="A38" s="352"/>
    </row>
    <row r="39" spans="1:10" ht="14.5">
      <c r="A39" s="334"/>
    </row>
    <row r="40" spans="1:10" ht="14.5">
      <c r="A40" s="334"/>
    </row>
    <row r="41" spans="1:10" ht="14.5">
      <c r="A41" s="334"/>
    </row>
    <row r="42" spans="1:10" ht="14.5">
      <c r="A42" s="334"/>
    </row>
    <row r="43" spans="1:10" ht="14.5">
      <c r="A43" s="334"/>
    </row>
    <row r="44" spans="1:10" ht="14.5">
      <c r="A44" s="380"/>
      <c r="B44" s="380"/>
      <c r="C44" s="380"/>
      <c r="D44" s="380"/>
      <c r="E44" s="380"/>
      <c r="F44" s="380"/>
      <c r="G44" s="380"/>
      <c r="H44" s="380"/>
      <c r="I44" s="380"/>
      <c r="J44" s="334"/>
    </row>
    <row r="45" spans="1:10" ht="14.5">
      <c r="A45" s="334"/>
    </row>
    <row r="46" spans="1:10" ht="14.5">
      <c r="A46" s="334"/>
    </row>
    <row r="47" spans="1:10" ht="14.5">
      <c r="A47" s="334"/>
    </row>
    <row r="48" spans="1:10" ht="14.5">
      <c r="A48" s="334"/>
    </row>
    <row r="49" spans="1:10" ht="14.5">
      <c r="A49" s="334"/>
    </row>
    <row r="50" spans="1:10" ht="14.5">
      <c r="A50" s="352"/>
    </row>
    <row r="51" spans="1:10" ht="14.5">
      <c r="A51" s="352"/>
    </row>
    <row r="52" spans="1:10" ht="14.5">
      <c r="A52" s="386"/>
      <c r="B52" s="387"/>
      <c r="C52" s="387"/>
      <c r="D52" s="387"/>
      <c r="E52" s="387"/>
      <c r="F52" s="387"/>
      <c r="G52" s="387"/>
      <c r="H52" s="387"/>
      <c r="I52" s="387"/>
      <c r="J52" s="352"/>
    </row>
    <row r="53" spans="1:10" ht="14.5">
      <c r="A53" s="386"/>
      <c r="B53" s="387"/>
      <c r="C53" s="387"/>
      <c r="D53" s="387"/>
      <c r="E53" s="387"/>
      <c r="F53" s="387"/>
      <c r="G53" s="387"/>
      <c r="H53" s="387"/>
      <c r="I53" s="387"/>
      <c r="J53" s="352"/>
    </row>
    <row r="54" spans="1:10" ht="14.5">
      <c r="A54" s="386"/>
      <c r="B54" s="387"/>
      <c r="C54" s="387"/>
      <c r="D54" s="387"/>
      <c r="E54" s="387"/>
      <c r="F54" s="387"/>
      <c r="G54" s="387"/>
      <c r="H54" s="387"/>
      <c r="I54" s="387"/>
      <c r="J54" s="352"/>
    </row>
    <row r="55" spans="1:10" ht="14.5">
      <c r="A55" s="386"/>
      <c r="B55" s="387"/>
      <c r="C55" s="387"/>
      <c r="D55" s="387"/>
      <c r="E55" s="387"/>
      <c r="F55" s="387"/>
      <c r="G55" s="387"/>
      <c r="H55" s="387"/>
      <c r="I55" s="387"/>
      <c r="J55" s="352"/>
    </row>
    <row r="56" spans="1:10" ht="14.5">
      <c r="A56" s="386"/>
      <c r="B56" s="387"/>
      <c r="C56" s="387"/>
      <c r="D56" s="387"/>
      <c r="E56" s="387"/>
      <c r="F56" s="387"/>
      <c r="G56" s="387"/>
      <c r="H56" s="387"/>
      <c r="I56" s="387"/>
      <c r="J56" s="352"/>
    </row>
    <row r="57" spans="1:10" ht="14.5">
      <c r="A57" s="388"/>
      <c r="B57" s="388"/>
      <c r="C57" s="388"/>
      <c r="D57" s="388"/>
      <c r="E57" s="388"/>
      <c r="F57" s="388"/>
      <c r="G57" s="388"/>
      <c r="H57" s="388"/>
      <c r="I57" s="388"/>
      <c r="J57" s="352"/>
    </row>
    <row r="58" spans="1:10" ht="14.5">
      <c r="A58" s="334"/>
    </row>
    <row r="59" spans="1:10" ht="14.5">
      <c r="A59" s="334"/>
    </row>
    <row r="60" spans="1:10" ht="14.5">
      <c r="A60" s="334"/>
    </row>
    <row r="61" spans="1:10" ht="14.5">
      <c r="A61" s="334"/>
    </row>
    <row r="62" spans="1:10" ht="14.5">
      <c r="A62" s="334"/>
    </row>
    <row r="63" spans="1:10" ht="14.5">
      <c r="A63" s="334"/>
    </row>
    <row r="64" spans="1:10" ht="14.5">
      <c r="A64" s="334"/>
    </row>
    <row r="65" spans="1:1" ht="14.5">
      <c r="A65" s="334"/>
    </row>
    <row r="66" spans="1:1" ht="14.5">
      <c r="A66" s="334"/>
    </row>
    <row r="67" spans="1:1" ht="14.5">
      <c r="A67" s="334"/>
    </row>
    <row r="68" spans="1:1" ht="14.5">
      <c r="A68" s="334"/>
    </row>
    <row r="69" spans="1:1" ht="14.5">
      <c r="A69" s="334"/>
    </row>
    <row r="70" spans="1:1" ht="14"/>
    <row r="71" spans="1:1" ht="14"/>
    <row r="72" spans="1:1" ht="14"/>
    <row r="73" spans="1:1" ht="14"/>
    <row r="74" spans="1:1" ht="14"/>
    <row r="75" spans="1:1" ht="14"/>
    <row r="76" spans="1:1" ht="14"/>
    <row r="77" spans="1:1" ht="14"/>
    <row r="78" spans="1:1" ht="14"/>
    <row r="79" spans="1:1" ht="14"/>
    <row r="80" spans="1:1" ht="14"/>
    <row r="81" ht="14"/>
    <row r="82" ht="14"/>
    <row r="83" ht="14"/>
    <row r="84" ht="14"/>
    <row r="85" ht="14"/>
    <row r="86" ht="14"/>
    <row r="87" ht="14"/>
    <row r="88" ht="14"/>
    <row r="89" ht="14"/>
    <row r="90" ht="14"/>
    <row r="91" ht="14"/>
    <row r="92" ht="14"/>
    <row r="93" ht="14"/>
    <row r="94" ht="14"/>
    <row r="95" ht="14"/>
    <row r="96" ht="14"/>
    <row r="97" ht="14"/>
    <row r="98" ht="14"/>
    <row r="99" ht="14"/>
    <row r="100" ht="14"/>
    <row r="101" ht="14"/>
    <row r="102" ht="14"/>
    <row r="103" ht="14"/>
    <row r="104" ht="14"/>
    <row r="105" ht="14"/>
    <row r="106" ht="14"/>
    <row r="107" ht="14"/>
    <row r="108" ht="14"/>
    <row r="109" ht="14"/>
    <row r="110" ht="14"/>
    <row r="111" ht="14"/>
    <row r="112" ht="14"/>
    <row r="113" spans="1:10" ht="14"/>
    <row r="114" spans="1:10" ht="14"/>
    <row r="115" spans="1:10" ht="14.5">
      <c r="A115" s="461"/>
      <c r="B115" s="459"/>
      <c r="C115" s="459"/>
      <c r="D115" s="459"/>
      <c r="E115" s="459"/>
      <c r="F115" s="459"/>
      <c r="G115" s="459"/>
      <c r="H115" s="459"/>
      <c r="I115" s="459"/>
      <c r="J115" s="352"/>
    </row>
    <row r="116" spans="1:10" ht="14.5">
      <c r="A116" s="461"/>
      <c r="B116" s="459"/>
      <c r="C116" s="459"/>
      <c r="D116" s="459"/>
      <c r="E116" s="459"/>
      <c r="F116" s="459"/>
      <c r="G116" s="459"/>
      <c r="H116" s="459"/>
      <c r="I116" s="459"/>
      <c r="J116" s="352"/>
    </row>
    <row r="117" spans="1:10" ht="14.5">
      <c r="A117" s="461"/>
      <c r="B117" s="459"/>
      <c r="C117" s="459"/>
      <c r="D117" s="459"/>
      <c r="E117" s="459"/>
      <c r="F117" s="459"/>
      <c r="G117" s="459"/>
      <c r="H117" s="459"/>
      <c r="I117" s="459"/>
      <c r="J117" s="352"/>
    </row>
    <row r="118" spans="1:10" ht="14.5">
      <c r="A118" s="461"/>
      <c r="B118" s="459"/>
      <c r="C118" s="459"/>
      <c r="D118" s="459"/>
      <c r="E118" s="459"/>
      <c r="F118" s="459"/>
      <c r="G118" s="459"/>
      <c r="H118" s="459"/>
      <c r="I118" s="459"/>
      <c r="J118" s="352"/>
    </row>
    <row r="119" spans="1:10" ht="14.5">
      <c r="A119" s="461"/>
      <c r="B119" s="459"/>
      <c r="C119" s="459"/>
      <c r="D119" s="459"/>
      <c r="E119" s="459"/>
      <c r="F119" s="459"/>
      <c r="G119" s="459"/>
      <c r="H119" s="459"/>
      <c r="I119" s="459"/>
      <c r="J119" s="352"/>
    </row>
    <row r="120" spans="1:10" ht="14.5">
      <c r="A120" s="461"/>
      <c r="B120" s="459"/>
      <c r="C120" s="459"/>
      <c r="D120" s="459"/>
      <c r="E120" s="459"/>
      <c r="F120" s="459"/>
      <c r="G120" s="459"/>
      <c r="H120" s="459"/>
      <c r="I120" s="459"/>
      <c r="J120" s="352"/>
    </row>
    <row r="121" spans="1:10" ht="14.5">
      <c r="A121" s="461"/>
      <c r="B121" s="459"/>
      <c r="C121" s="459"/>
      <c r="D121" s="459"/>
      <c r="E121" s="459"/>
      <c r="F121" s="459"/>
      <c r="G121" s="459"/>
      <c r="H121" s="459"/>
      <c r="I121" s="459"/>
      <c r="J121" s="352"/>
    </row>
    <row r="122" spans="1:10" ht="14.5">
      <c r="A122" s="461"/>
      <c r="B122" s="459"/>
      <c r="C122" s="459"/>
      <c r="D122" s="459"/>
      <c r="E122" s="459"/>
      <c r="F122" s="459"/>
      <c r="G122" s="459"/>
      <c r="H122" s="459"/>
      <c r="I122" s="459"/>
      <c r="J122" s="352"/>
    </row>
    <row r="123" spans="1:10" ht="14.5">
      <c r="A123" s="461"/>
      <c r="B123" s="459"/>
      <c r="C123" s="459"/>
      <c r="D123" s="459"/>
      <c r="E123" s="459"/>
      <c r="F123" s="459"/>
      <c r="G123" s="459"/>
      <c r="H123" s="459"/>
      <c r="I123" s="459"/>
      <c r="J123" s="352"/>
    </row>
    <row r="124" spans="1:10" ht="14.5">
      <c r="A124" s="461"/>
      <c r="B124" s="459"/>
      <c r="C124" s="459"/>
      <c r="D124" s="459"/>
      <c r="E124" s="459"/>
      <c r="F124" s="459"/>
      <c r="G124" s="459"/>
      <c r="H124" s="459"/>
      <c r="I124" s="459"/>
      <c r="J124" s="352"/>
    </row>
    <row r="125" spans="1:10" ht="14.5">
      <c r="A125" s="464"/>
      <c r="B125" s="460"/>
      <c r="C125" s="460"/>
      <c r="D125" s="460"/>
      <c r="E125" s="460"/>
      <c r="F125" s="460"/>
      <c r="G125" s="460"/>
      <c r="H125" s="460"/>
      <c r="I125" s="460"/>
      <c r="J125" s="465"/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I5"/>
  <sheetViews>
    <sheetView workbookViewId="0"/>
  </sheetViews>
  <sheetFormatPr baseColWidth="10" defaultColWidth="12.6640625" defaultRowHeight="15" customHeight="1"/>
  <sheetData>
    <row r="1" spans="1:9" ht="15" customHeight="1">
      <c r="A1" s="333" t="s">
        <v>18</v>
      </c>
      <c r="B1" s="353">
        <v>2019</v>
      </c>
      <c r="C1" s="353">
        <v>2020</v>
      </c>
      <c r="D1" s="353" t="s">
        <v>146</v>
      </c>
      <c r="E1" s="353" t="s">
        <v>147</v>
      </c>
      <c r="F1" s="353" t="s">
        <v>148</v>
      </c>
      <c r="G1" s="353" t="s">
        <v>149</v>
      </c>
      <c r="H1" s="353" t="s">
        <v>150</v>
      </c>
      <c r="I1" s="354" t="s">
        <v>151</v>
      </c>
    </row>
    <row r="2" spans="1:9" ht="15" customHeight="1">
      <c r="A2" s="335" t="s">
        <v>19</v>
      </c>
      <c r="B2" s="336">
        <v>27919</v>
      </c>
      <c r="C2" s="337">
        <v>19306</v>
      </c>
      <c r="D2" s="337">
        <v>19306</v>
      </c>
      <c r="E2" s="337">
        <v>19306</v>
      </c>
      <c r="F2" s="337">
        <v>20271.3</v>
      </c>
      <c r="G2" s="337">
        <v>20271.3</v>
      </c>
      <c r="H2" s="337">
        <v>20271.3</v>
      </c>
      <c r="I2" s="338">
        <v>21284.865000000002</v>
      </c>
    </row>
    <row r="3" spans="1:9" ht="15" customHeight="1">
      <c r="A3" s="339" t="s">
        <v>21</v>
      </c>
      <c r="B3" s="340">
        <v>34574</v>
      </c>
      <c r="C3" s="341">
        <v>30923</v>
      </c>
      <c r="D3" s="341">
        <v>30923</v>
      </c>
      <c r="E3" s="341">
        <v>30923</v>
      </c>
      <c r="F3" s="341">
        <v>32469.15</v>
      </c>
      <c r="G3" s="341">
        <v>32469.15</v>
      </c>
      <c r="H3" s="341">
        <v>32469.15</v>
      </c>
      <c r="I3" s="342">
        <v>34092.607500000006</v>
      </c>
    </row>
    <row r="4" spans="1:9" ht="15" customHeight="1" thickBot="1">
      <c r="A4" s="343" t="s">
        <v>22</v>
      </c>
      <c r="B4" s="344">
        <v>45081</v>
      </c>
      <c r="C4" s="345">
        <v>33341</v>
      </c>
      <c r="D4" s="345">
        <v>33341</v>
      </c>
      <c r="E4" s="345">
        <v>33341</v>
      </c>
      <c r="F4" s="345">
        <v>35008.050000000003</v>
      </c>
      <c r="G4" s="345">
        <v>35008.050000000003</v>
      </c>
      <c r="H4" s="345">
        <v>35008.050000000003</v>
      </c>
      <c r="I4" s="346">
        <v>36758.452500000007</v>
      </c>
    </row>
    <row r="5" spans="1:9" ht="15" customHeight="1" thickBot="1">
      <c r="A5" s="347" t="s">
        <v>17</v>
      </c>
      <c r="B5" s="355">
        <v>107574</v>
      </c>
      <c r="C5" s="356">
        <v>83570</v>
      </c>
      <c r="D5" s="356">
        <v>83570</v>
      </c>
      <c r="E5" s="356">
        <v>83570</v>
      </c>
      <c r="F5" s="356">
        <v>87748.5</v>
      </c>
      <c r="G5" s="356">
        <v>87748.5</v>
      </c>
      <c r="H5" s="356">
        <v>87748.5</v>
      </c>
      <c r="I5" s="357">
        <v>92135.925000000017</v>
      </c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28962-FA25-4F41-A70C-3F7149E85848}">
  <dimension ref="A1:I16"/>
  <sheetViews>
    <sheetView zoomScale="91" zoomScaleNormal="91" workbookViewId="0"/>
  </sheetViews>
  <sheetFormatPr baseColWidth="10" defaultColWidth="12.6640625" defaultRowHeight="14"/>
  <cols>
    <col min="1" max="1" width="26" customWidth="1"/>
  </cols>
  <sheetData>
    <row r="1" spans="1:9" ht="14.5">
      <c r="A1" s="333" t="s">
        <v>23</v>
      </c>
      <c r="B1" s="353">
        <v>2019</v>
      </c>
      <c r="C1" s="353">
        <v>2020</v>
      </c>
      <c r="D1" s="353" t="s">
        <v>146</v>
      </c>
      <c r="E1" s="353" t="s">
        <v>147</v>
      </c>
      <c r="F1" s="353" t="s">
        <v>148</v>
      </c>
      <c r="G1" s="353" t="s">
        <v>149</v>
      </c>
      <c r="H1" s="353" t="s">
        <v>150</v>
      </c>
      <c r="I1" s="354" t="s">
        <v>151</v>
      </c>
    </row>
    <row r="2" spans="1:9" ht="14.5">
      <c r="A2" s="335" t="s">
        <v>24</v>
      </c>
      <c r="B2" s="358">
        <v>9904</v>
      </c>
      <c r="C2" s="359">
        <v>7310</v>
      </c>
      <c r="D2" s="359">
        <v>7310</v>
      </c>
      <c r="E2" s="359">
        <v>7310</v>
      </c>
      <c r="F2" s="359">
        <v>7675.5</v>
      </c>
      <c r="G2" s="359">
        <v>7675.5</v>
      </c>
      <c r="H2" s="359">
        <v>7675.5</v>
      </c>
      <c r="I2" s="360">
        <v>8059.2750000000005</v>
      </c>
    </row>
    <row r="3" spans="1:9" ht="14.5">
      <c r="A3" s="363" t="s">
        <v>152</v>
      </c>
      <c r="B3" s="340">
        <v>20961</v>
      </c>
      <c r="C3" s="341">
        <v>18323</v>
      </c>
      <c r="D3" s="341">
        <v>18323</v>
      </c>
      <c r="E3" s="341">
        <v>18323</v>
      </c>
      <c r="F3" s="341">
        <v>19239.150000000001</v>
      </c>
      <c r="G3" s="341">
        <v>19239.150000000001</v>
      </c>
      <c r="H3" s="341">
        <v>19239.150000000001</v>
      </c>
      <c r="I3" s="342">
        <v>20201.107500000002</v>
      </c>
    </row>
    <row r="4" spans="1:9" ht="14.5">
      <c r="A4" s="363" t="s">
        <v>153</v>
      </c>
      <c r="B4" s="340">
        <v>10144</v>
      </c>
      <c r="C4" s="341">
        <v>9849</v>
      </c>
      <c r="D4" s="341">
        <v>9849</v>
      </c>
      <c r="E4" s="341">
        <v>9849</v>
      </c>
      <c r="F4" s="341">
        <v>10341.450000000001</v>
      </c>
      <c r="G4" s="341">
        <v>10341.450000000001</v>
      </c>
      <c r="H4" s="341">
        <v>10341.450000000001</v>
      </c>
      <c r="I4" s="342">
        <v>10858.522500000001</v>
      </c>
    </row>
    <row r="5" spans="1:9" ht="14.5">
      <c r="A5" s="339" t="s">
        <v>29</v>
      </c>
      <c r="B5" s="361">
        <v>14276</v>
      </c>
      <c r="C5" s="362">
        <v>15642</v>
      </c>
      <c r="D5" s="341">
        <v>15642</v>
      </c>
      <c r="E5" s="341">
        <v>15642</v>
      </c>
      <c r="F5" s="341">
        <v>16424.100000000002</v>
      </c>
      <c r="G5" s="341">
        <v>16424.100000000002</v>
      </c>
      <c r="H5" s="341">
        <v>16424.100000000002</v>
      </c>
      <c r="I5" s="342">
        <v>17245.305000000004</v>
      </c>
    </row>
    <row r="6" spans="1:9" ht="14.5">
      <c r="A6" s="339" t="s">
        <v>30</v>
      </c>
      <c r="B6" s="340">
        <v>4210</v>
      </c>
      <c r="C6" s="341">
        <v>4225</v>
      </c>
      <c r="D6" s="341">
        <v>4225</v>
      </c>
      <c r="E6" s="341">
        <v>4225</v>
      </c>
      <c r="F6" s="341">
        <v>4647.5</v>
      </c>
      <c r="G6" s="341">
        <v>4647.5</v>
      </c>
      <c r="H6" s="341">
        <v>4647.5</v>
      </c>
      <c r="I6" s="342">
        <v>5112.25</v>
      </c>
    </row>
    <row r="7" spans="1:9" ht="14.5">
      <c r="A7" s="339" t="s">
        <v>31</v>
      </c>
      <c r="B7" s="340">
        <v>7733</v>
      </c>
      <c r="C7" s="341">
        <v>6922</v>
      </c>
      <c r="D7" s="341">
        <v>6922</v>
      </c>
      <c r="E7" s="341">
        <v>6922</v>
      </c>
      <c r="F7" s="341">
        <v>7268.1</v>
      </c>
      <c r="G7" s="341">
        <v>7268.1</v>
      </c>
      <c r="H7" s="341">
        <v>7268.1</v>
      </c>
      <c r="I7" s="342">
        <v>7631.505000000001</v>
      </c>
    </row>
    <row r="8" spans="1:9" ht="14.5">
      <c r="A8" s="363" t="s">
        <v>154</v>
      </c>
      <c r="B8" s="340">
        <v>5814</v>
      </c>
      <c r="C8" s="341">
        <v>5557</v>
      </c>
      <c r="D8" s="341">
        <v>5557</v>
      </c>
      <c r="E8" s="341">
        <v>5557</v>
      </c>
      <c r="F8" s="341">
        <v>5834.85</v>
      </c>
      <c r="G8" s="341">
        <v>5834.85</v>
      </c>
      <c r="H8" s="341">
        <v>5834.85</v>
      </c>
      <c r="I8" s="342">
        <v>6126.5925000000007</v>
      </c>
    </row>
    <row r="9" spans="1:9" ht="14.5">
      <c r="A9" s="339" t="s">
        <v>33</v>
      </c>
      <c r="B9" s="340">
        <v>9101</v>
      </c>
      <c r="C9" s="341">
        <v>10008</v>
      </c>
      <c r="D9" s="341">
        <v>10008</v>
      </c>
      <c r="E9" s="341">
        <v>10008</v>
      </c>
      <c r="F9" s="341">
        <v>10508.4</v>
      </c>
      <c r="G9" s="341">
        <v>10508.4</v>
      </c>
      <c r="H9" s="341">
        <v>10508.4</v>
      </c>
      <c r="I9" s="342">
        <v>11033.82</v>
      </c>
    </row>
    <row r="10" spans="1:9" ht="14.5">
      <c r="A10" s="339" t="s">
        <v>34</v>
      </c>
      <c r="B10" s="340">
        <v>2643</v>
      </c>
      <c r="C10" s="341">
        <v>6817</v>
      </c>
      <c r="D10" s="341">
        <v>6817</v>
      </c>
      <c r="E10" s="341">
        <v>6817</v>
      </c>
      <c r="F10" s="341">
        <v>7157.85</v>
      </c>
      <c r="G10" s="341">
        <v>7157.85</v>
      </c>
      <c r="H10" s="341">
        <v>7157.85</v>
      </c>
      <c r="I10" s="342">
        <v>7515.7425000000003</v>
      </c>
    </row>
    <row r="11" spans="1:9" ht="14.5">
      <c r="A11" s="339" t="s">
        <v>35</v>
      </c>
      <c r="B11" s="340">
        <v>8291</v>
      </c>
      <c r="C11" s="341">
        <v>11159</v>
      </c>
      <c r="D11" s="341">
        <v>11159</v>
      </c>
      <c r="E11" s="341">
        <v>11159</v>
      </c>
      <c r="F11" s="341">
        <v>11716.95</v>
      </c>
      <c r="G11" s="341">
        <v>11716.95</v>
      </c>
      <c r="H11" s="341">
        <v>11716.95</v>
      </c>
      <c r="I11" s="342">
        <v>12302.797500000001</v>
      </c>
    </row>
    <row r="12" spans="1:9" ht="14.5">
      <c r="A12" s="339" t="s">
        <v>36</v>
      </c>
      <c r="B12" s="340">
        <v>2323</v>
      </c>
      <c r="C12" s="341">
        <v>1064</v>
      </c>
      <c r="D12" s="341">
        <v>1064</v>
      </c>
      <c r="E12" s="341">
        <v>1064</v>
      </c>
      <c r="F12" s="341">
        <v>1117.2</v>
      </c>
      <c r="G12" s="341">
        <v>1117.2</v>
      </c>
      <c r="H12" s="341">
        <v>1117.2</v>
      </c>
      <c r="I12" s="342">
        <v>1173.0600000000002</v>
      </c>
    </row>
    <row r="13" spans="1:9" ht="14.5">
      <c r="A13" s="363" t="s">
        <v>37</v>
      </c>
      <c r="B13" s="340">
        <v>2505</v>
      </c>
      <c r="C13" s="341">
        <v>10190</v>
      </c>
      <c r="D13" s="341">
        <v>10190</v>
      </c>
      <c r="E13" s="341">
        <v>10190</v>
      </c>
      <c r="F13" s="341">
        <v>10699.5</v>
      </c>
      <c r="G13" s="341">
        <v>10699.5</v>
      </c>
      <c r="H13" s="341">
        <v>10699.5</v>
      </c>
      <c r="I13" s="342">
        <v>11234.475</v>
      </c>
    </row>
    <row r="14" spans="1:9" ht="14.5">
      <c r="A14" s="339" t="s">
        <v>39</v>
      </c>
      <c r="B14" s="340">
        <v>90</v>
      </c>
      <c r="C14" s="341">
        <v>5200</v>
      </c>
      <c r="D14" s="341">
        <v>5200</v>
      </c>
      <c r="E14" s="341">
        <v>5200</v>
      </c>
      <c r="F14" s="341">
        <v>5460</v>
      </c>
      <c r="G14" s="341">
        <v>5460</v>
      </c>
      <c r="H14" s="341">
        <v>5460</v>
      </c>
      <c r="I14" s="342">
        <v>5733</v>
      </c>
    </row>
    <row r="15" spans="1:9" ht="15" thickBot="1">
      <c r="A15" s="343" t="s">
        <v>41</v>
      </c>
      <c r="B15" s="364" t="s">
        <v>38</v>
      </c>
      <c r="C15" s="345">
        <v>5314</v>
      </c>
      <c r="D15" s="345">
        <v>5314</v>
      </c>
      <c r="E15" s="345">
        <v>5314</v>
      </c>
      <c r="F15" s="345">
        <v>5845.4000000000005</v>
      </c>
      <c r="G15" s="345">
        <v>5845.4000000000005</v>
      </c>
      <c r="H15" s="345">
        <v>5845.4000000000005</v>
      </c>
      <c r="I15" s="346">
        <v>6429.9400000000014</v>
      </c>
    </row>
    <row r="16" spans="1:9" ht="15" thickBot="1">
      <c r="A16" s="347" t="s">
        <v>17</v>
      </c>
      <c r="B16" s="348">
        <v>97995</v>
      </c>
      <c r="C16" s="349">
        <v>117580</v>
      </c>
      <c r="D16" s="349">
        <v>117580</v>
      </c>
      <c r="E16" s="349">
        <v>117580</v>
      </c>
      <c r="F16" s="349">
        <v>123935.95000000001</v>
      </c>
      <c r="G16" s="349">
        <v>123935.95000000001</v>
      </c>
      <c r="H16" s="349">
        <v>123935.95000000001</v>
      </c>
      <c r="I16" s="350">
        <v>130657.3925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ED21E-4B21-4FA2-BC68-EAE1637BD942}">
  <dimension ref="A1:I3"/>
  <sheetViews>
    <sheetView workbookViewId="0"/>
  </sheetViews>
  <sheetFormatPr baseColWidth="10" defaultRowHeight="14"/>
  <sheetData>
    <row r="1" spans="1:9" ht="14.5">
      <c r="A1" s="333" t="s">
        <v>42</v>
      </c>
      <c r="B1" s="353">
        <v>2019</v>
      </c>
      <c r="C1" s="353">
        <v>2020</v>
      </c>
      <c r="D1" s="353" t="s">
        <v>146</v>
      </c>
      <c r="E1" s="353" t="s">
        <v>147</v>
      </c>
      <c r="F1" s="353" t="s">
        <v>148</v>
      </c>
      <c r="G1" s="353" t="s">
        <v>149</v>
      </c>
      <c r="H1" s="353" t="s">
        <v>150</v>
      </c>
      <c r="I1" s="354" t="s">
        <v>151</v>
      </c>
    </row>
    <row r="2" spans="1:9" ht="15" thickBot="1">
      <c r="A2" s="365" t="s">
        <v>155</v>
      </c>
      <c r="B2" s="366">
        <v>14640</v>
      </c>
      <c r="C2" s="367">
        <v>14997</v>
      </c>
      <c r="D2" s="367">
        <v>14997</v>
      </c>
      <c r="E2" s="367">
        <v>15446.91</v>
      </c>
      <c r="F2" s="367">
        <v>15446.91</v>
      </c>
      <c r="G2" s="367">
        <v>15446.91</v>
      </c>
      <c r="H2" s="367">
        <v>15910.317300000001</v>
      </c>
      <c r="I2" s="368">
        <v>15910.317300000001</v>
      </c>
    </row>
    <row r="3" spans="1:9" ht="15" thickBot="1">
      <c r="A3" s="347" t="s">
        <v>17</v>
      </c>
      <c r="B3" s="369">
        <v>14640</v>
      </c>
      <c r="C3" s="370">
        <v>14997</v>
      </c>
      <c r="D3" s="370">
        <v>14997</v>
      </c>
      <c r="E3" s="370">
        <v>15446.91</v>
      </c>
      <c r="F3" s="370">
        <v>15446.91</v>
      </c>
      <c r="G3" s="370">
        <v>15446.91</v>
      </c>
      <c r="H3" s="370">
        <v>15910.317300000001</v>
      </c>
      <c r="I3" s="371">
        <v>15910.317300000001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E14AE-B0A7-42C4-8BF9-040897DCC6C5}">
  <dimension ref="A1:I4"/>
  <sheetViews>
    <sheetView workbookViewId="0"/>
  </sheetViews>
  <sheetFormatPr baseColWidth="10" defaultRowHeight="14"/>
  <cols>
    <col min="1" max="1" width="28" customWidth="1"/>
  </cols>
  <sheetData>
    <row r="1" spans="1:9" ht="14.5">
      <c r="A1" s="489" t="s">
        <v>164</v>
      </c>
      <c r="B1" s="486">
        <v>2019</v>
      </c>
      <c r="C1" s="486">
        <v>2020</v>
      </c>
      <c r="D1" s="486" t="s">
        <v>146</v>
      </c>
      <c r="E1" s="486" t="s">
        <v>147</v>
      </c>
      <c r="F1" s="486" t="s">
        <v>148</v>
      </c>
      <c r="G1" s="486" t="s">
        <v>149</v>
      </c>
      <c r="H1" s="486" t="s">
        <v>150</v>
      </c>
      <c r="I1" s="486" t="s">
        <v>151</v>
      </c>
    </row>
    <row r="2" spans="1:9" ht="14.5">
      <c r="A2" s="373" t="s">
        <v>156</v>
      </c>
      <c r="B2" s="482" t="s">
        <v>38</v>
      </c>
      <c r="C2" s="483" t="s">
        <v>38</v>
      </c>
      <c r="D2" s="484">
        <v>262610</v>
      </c>
      <c r="E2" s="484">
        <v>263059.90999999997</v>
      </c>
      <c r="F2" s="484">
        <v>276252.15999999997</v>
      </c>
      <c r="G2" s="484">
        <v>276252.15999999997</v>
      </c>
      <c r="H2" s="484">
        <v>276715.5673</v>
      </c>
      <c r="I2" s="485">
        <v>290648.58980000002</v>
      </c>
    </row>
    <row r="3" spans="1:9" ht="15" thickBot="1">
      <c r="A3" s="374" t="s">
        <v>157</v>
      </c>
      <c r="B3" s="375" t="s">
        <v>38</v>
      </c>
      <c r="C3" s="376" t="s">
        <v>38</v>
      </c>
      <c r="D3" s="345">
        <v>5252.2</v>
      </c>
      <c r="E3" s="345">
        <v>5261.1981999999998</v>
      </c>
      <c r="F3" s="345">
        <v>5525.0432000000001</v>
      </c>
      <c r="G3" s="345">
        <v>5525.0431999999992</v>
      </c>
      <c r="H3" s="345">
        <v>5534.3113460000004</v>
      </c>
      <c r="I3" s="346">
        <v>5812.9717960000007</v>
      </c>
    </row>
    <row r="4" spans="1:9" ht="15" thickBot="1">
      <c r="A4" s="477" t="s">
        <v>158</v>
      </c>
      <c r="B4" s="377">
        <v>266635</v>
      </c>
      <c r="C4" s="378">
        <v>262610</v>
      </c>
      <c r="D4" s="378">
        <v>267862.2</v>
      </c>
      <c r="E4" s="378">
        <v>268321.10819999996</v>
      </c>
      <c r="F4" s="378">
        <v>281777.20319999999</v>
      </c>
      <c r="G4" s="378">
        <v>281777.20319999999</v>
      </c>
      <c r="H4" s="378">
        <v>282249.878646</v>
      </c>
      <c r="I4" s="379">
        <v>296461.56159600004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apps1</vt:lpstr>
      <vt:lpstr>apps2</vt:lpstr>
      <vt:lpstr>Feuil1</vt:lpstr>
      <vt:lpstr>Valuation</vt:lpstr>
      <vt:lpstr>ST</vt:lpstr>
      <vt:lpstr>SHC</vt:lpstr>
      <vt:lpstr>CG</vt:lpstr>
      <vt:lpstr>IU</vt:lpstr>
      <vt:lpstr>TR1</vt:lpstr>
      <vt:lpstr>TR2</vt:lpstr>
      <vt:lpstr>NET_Income</vt:lpstr>
      <vt:lpstr>FFO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E5450</dc:creator>
  <cp:lastModifiedBy>ahmed ouaboune</cp:lastModifiedBy>
  <dcterms:created xsi:type="dcterms:W3CDTF">2015-06-05T18:19:34Z</dcterms:created>
  <dcterms:modified xsi:type="dcterms:W3CDTF">2022-02-22T20:53:30Z</dcterms:modified>
</cp:coreProperties>
</file>