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AMUNDI_IS\GESTION_RECHERCHE\Transverse\Equipe\Laurent_G\laurent recherche\les cours\cours IMAFA-PFE\cours octobre 2019\02. corrigés\"/>
    </mc:Choice>
  </mc:AlternateContent>
  <bookViews>
    <workbookView xWindow="240" yWindow="120" windowWidth="18780" windowHeight="11385" firstSheet="1" activeTab="1"/>
  </bookViews>
  <sheets>
    <sheet name="Frontiere Efficiente" sheetId="1" r:id="rId1"/>
    <sheet name="expositions bond" sheetId="9" r:id="rId2"/>
    <sheet name="calcul de risque" sheetId="10" r:id="rId3"/>
  </sheets>
  <definedNames>
    <definedName name="COR">'Frontiere Efficiente'!$C$4</definedName>
    <definedName name="coupon">'expositions bond'!$D$2</definedName>
    <definedName name="expo">'calcul de risque'!$D$5:$D$10</definedName>
    <definedName name="Nominal">'expositions bond'!$D$5</definedName>
    <definedName name="prix_oblig">'expositions bond'!$D$4</definedName>
    <definedName name="R_A">'Frontiere Efficiente'!$C$2</definedName>
    <definedName name="R_B">'Frontiere Efficiente'!$C$3</definedName>
    <definedName name="solver_adj" localSheetId="1" hidden="1">'expositions bond'!$D$28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'expositions bond'!$E$28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102</definedName>
    <definedName name="solver_ver" localSheetId="1" hidden="1">3</definedName>
    <definedName name="V_A">'Frontiere Efficiente'!$D$2</definedName>
    <definedName name="V_B">'Frontiere Efficiente'!$D$3</definedName>
    <definedName name="VCV">'calcul de risque'!$D$13:$I$18</definedName>
  </definedNames>
  <calcPr calcId="162913" calcOnSave="0"/>
</workbook>
</file>

<file path=xl/calcChain.xml><?xml version="1.0" encoding="utf-8"?>
<calcChain xmlns="http://schemas.openxmlformats.org/spreadsheetml/2006/main">
  <c r="D22" i="10" l="1" a="1"/>
  <c r="D22" i="10" s="1"/>
  <c r="G28" i="10" l="1"/>
  <c r="H27" i="10"/>
  <c r="H28" i="10"/>
  <c r="G27" i="10"/>
  <c r="D32" i="10" s="1" a="1"/>
  <c r="D32" i="10" s="1"/>
  <c r="G64" i="9"/>
  <c r="G65" i="9"/>
  <c r="G66" i="9"/>
  <c r="E70" i="9" s="1"/>
  <c r="F63" i="9"/>
  <c r="G63" i="9" s="1"/>
  <c r="F64" i="9"/>
  <c r="F65" i="9"/>
  <c r="F66" i="9"/>
  <c r="F62" i="9"/>
  <c r="G62" i="9" s="1"/>
  <c r="E63" i="9"/>
  <c r="E64" i="9"/>
  <c r="D63" i="9"/>
  <c r="D64" i="9"/>
  <c r="D65" i="9"/>
  <c r="E65" i="9" s="1"/>
  <c r="D66" i="9"/>
  <c r="E66" i="9" s="1"/>
  <c r="E69" i="9" s="1"/>
  <c r="D62" i="9"/>
  <c r="E62" i="9" s="1"/>
  <c r="I40" i="9" l="1"/>
  <c r="J40" i="9" s="1"/>
  <c r="I39" i="9"/>
  <c r="J39" i="9" s="1"/>
  <c r="I38" i="9"/>
  <c r="J38" i="9" s="1"/>
  <c r="I37" i="9"/>
  <c r="J37" i="9" s="1"/>
  <c r="I36" i="9"/>
  <c r="J36" i="9" s="1"/>
  <c r="D40" i="9"/>
  <c r="E40" i="9" s="1"/>
  <c r="D39" i="9"/>
  <c r="E39" i="9" s="1"/>
  <c r="D38" i="9"/>
  <c r="E38" i="9" s="1"/>
  <c r="D37" i="9"/>
  <c r="E37" i="9" s="1"/>
  <c r="D36" i="9"/>
  <c r="E36" i="9" s="1"/>
  <c r="D26" i="9"/>
  <c r="E26" i="9" s="1"/>
  <c r="D25" i="9"/>
  <c r="E25" i="9" s="1"/>
  <c r="D24" i="9"/>
  <c r="E24" i="9" s="1"/>
  <c r="D23" i="9"/>
  <c r="E23" i="9" s="1"/>
  <c r="D22" i="9"/>
  <c r="E22" i="9" s="1"/>
  <c r="E13" i="9"/>
  <c r="E14" i="9"/>
  <c r="E15" i="9"/>
  <c r="E16" i="9"/>
  <c r="E18" i="9" s="1"/>
  <c r="E12" i="9"/>
  <c r="E28" i="9" l="1"/>
  <c r="E72" i="9" s="1"/>
  <c r="E25" i="10" s="1"/>
  <c r="D28" i="10" s="1"/>
  <c r="K37" i="9"/>
  <c r="K38" i="9"/>
  <c r="F40" i="9"/>
  <c r="K39" i="9"/>
  <c r="K36" i="9"/>
  <c r="K40" i="9"/>
  <c r="F36" i="9"/>
  <c r="F37" i="9"/>
  <c r="F39" i="9"/>
  <c r="F38" i="9"/>
  <c r="D33" i="10" l="1" a="1"/>
  <c r="D33" i="10" s="1"/>
  <c r="D31" i="10" a="1"/>
  <c r="D31" i="10" s="1"/>
  <c r="F54" i="9"/>
  <c r="G6" i="10" s="1"/>
  <c r="D9" i="10" s="1"/>
  <c r="D48" i="9"/>
  <c r="D46" i="9"/>
  <c r="F53" i="9"/>
  <c r="G5" i="10" s="1"/>
  <c r="D8" i="10" s="1"/>
  <c r="D44" i="9"/>
  <c r="F51" i="9"/>
  <c r="G3" i="10" s="1"/>
  <c r="D6" i="10" s="1"/>
  <c r="F55" i="9"/>
  <c r="G7" i="10" s="1"/>
  <c r="D10" i="10" s="1"/>
  <c r="D45" i="9"/>
  <c r="F52" i="9"/>
  <c r="G4" i="10" s="1"/>
  <c r="D7" i="10" s="1"/>
  <c r="D47" i="9"/>
  <c r="D23" i="10" l="1" a="1"/>
  <c r="D23" i="10" s="1"/>
  <c r="D21" i="10" a="1"/>
  <c r="D21" i="10" s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9" i="1"/>
  <c r="D10" i="1" l="1"/>
  <c r="F10" i="1" s="1"/>
  <c r="S10" i="1" s="1"/>
  <c r="D11" i="1"/>
  <c r="F11" i="1" s="1"/>
  <c r="S11" i="1" s="1"/>
  <c r="D12" i="1"/>
  <c r="F12" i="1" s="1"/>
  <c r="S12" i="1" s="1"/>
  <c r="D13" i="1"/>
  <c r="F13" i="1" s="1"/>
  <c r="S13" i="1" s="1"/>
  <c r="D14" i="1"/>
  <c r="F14" i="1" s="1"/>
  <c r="S14" i="1" s="1"/>
  <c r="D15" i="1"/>
  <c r="F15" i="1" s="1"/>
  <c r="S15" i="1" s="1"/>
  <c r="D16" i="1"/>
  <c r="F16" i="1" s="1"/>
  <c r="S16" i="1" s="1"/>
  <c r="D17" i="1"/>
  <c r="F17" i="1" s="1"/>
  <c r="S17" i="1" s="1"/>
  <c r="D18" i="1"/>
  <c r="F18" i="1" s="1"/>
  <c r="S18" i="1" s="1"/>
  <c r="D19" i="1"/>
  <c r="F19" i="1" s="1"/>
  <c r="S19" i="1" s="1"/>
  <c r="D20" i="1"/>
  <c r="F20" i="1" s="1"/>
  <c r="S20" i="1" s="1"/>
  <c r="D21" i="1"/>
  <c r="E21" i="1" s="1"/>
  <c r="D22" i="1"/>
  <c r="F22" i="1" s="1"/>
  <c r="S22" i="1" s="1"/>
  <c r="D23" i="1"/>
  <c r="E23" i="1" s="1"/>
  <c r="D24" i="1"/>
  <c r="F24" i="1" s="1"/>
  <c r="S24" i="1" s="1"/>
  <c r="D25" i="1"/>
  <c r="E25" i="1" s="1"/>
  <c r="D26" i="1"/>
  <c r="F26" i="1" s="1"/>
  <c r="S26" i="1" s="1"/>
  <c r="D27" i="1"/>
  <c r="E27" i="1" s="1"/>
  <c r="D28" i="1"/>
  <c r="F28" i="1" s="1"/>
  <c r="S28" i="1" s="1"/>
  <c r="D29" i="1"/>
  <c r="E29" i="1" s="1"/>
  <c r="D30" i="1"/>
  <c r="F30" i="1" s="1"/>
  <c r="S30" i="1" s="1"/>
  <c r="D31" i="1"/>
  <c r="E31" i="1" s="1"/>
  <c r="D32" i="1"/>
  <c r="F32" i="1" s="1"/>
  <c r="S32" i="1" s="1"/>
  <c r="D33" i="1"/>
  <c r="E33" i="1" s="1"/>
  <c r="D34" i="1"/>
  <c r="F34" i="1" s="1"/>
  <c r="S34" i="1" s="1"/>
  <c r="D35" i="1"/>
  <c r="E35" i="1" s="1"/>
  <c r="D36" i="1"/>
  <c r="F36" i="1" s="1"/>
  <c r="S36" i="1" s="1"/>
  <c r="D37" i="1"/>
  <c r="E37" i="1" s="1"/>
  <c r="D38" i="1"/>
  <c r="F38" i="1" s="1"/>
  <c r="S38" i="1" s="1"/>
  <c r="D39" i="1"/>
  <c r="E39" i="1" s="1"/>
  <c r="D40" i="1"/>
  <c r="F40" i="1" s="1"/>
  <c r="S40" i="1" s="1"/>
  <c r="D41" i="1"/>
  <c r="E41" i="1" s="1"/>
  <c r="D42" i="1"/>
  <c r="F42" i="1" s="1"/>
  <c r="S42" i="1" s="1"/>
  <c r="D43" i="1"/>
  <c r="E43" i="1" s="1"/>
  <c r="D44" i="1"/>
  <c r="F44" i="1" s="1"/>
  <c r="S44" i="1" s="1"/>
  <c r="D45" i="1"/>
  <c r="E45" i="1" s="1"/>
  <c r="D46" i="1"/>
  <c r="F46" i="1" s="1"/>
  <c r="S46" i="1" s="1"/>
  <c r="D47" i="1"/>
  <c r="E47" i="1" s="1"/>
  <c r="D48" i="1"/>
  <c r="F48" i="1" s="1"/>
  <c r="S48" i="1" s="1"/>
  <c r="D49" i="1"/>
  <c r="E49" i="1" s="1"/>
  <c r="D50" i="1"/>
  <c r="F50" i="1" s="1"/>
  <c r="S50" i="1" s="1"/>
  <c r="D51" i="1"/>
  <c r="E51" i="1" s="1"/>
  <c r="D52" i="1"/>
  <c r="F52" i="1" s="1"/>
  <c r="S52" i="1" s="1"/>
  <c r="D53" i="1"/>
  <c r="E53" i="1" s="1"/>
  <c r="D54" i="1"/>
  <c r="F54" i="1" s="1"/>
  <c r="S54" i="1" s="1"/>
  <c r="D55" i="1"/>
  <c r="E55" i="1" s="1"/>
  <c r="D56" i="1"/>
  <c r="F56" i="1" s="1"/>
  <c r="S56" i="1" s="1"/>
  <c r="D57" i="1"/>
  <c r="E57" i="1" s="1"/>
  <c r="D58" i="1"/>
  <c r="E58" i="1" s="1"/>
  <c r="D59" i="1"/>
  <c r="F59" i="1" s="1"/>
  <c r="S59" i="1" s="1"/>
  <c r="D9" i="1"/>
  <c r="F9" i="1" s="1"/>
  <c r="S9" i="1" s="1"/>
  <c r="E59" i="1" l="1"/>
  <c r="E18" i="1"/>
  <c r="E10" i="1"/>
  <c r="E17" i="1"/>
  <c r="E14" i="1"/>
  <c r="E13" i="1"/>
  <c r="E20" i="1"/>
  <c r="E16" i="1"/>
  <c r="E12" i="1"/>
  <c r="E9" i="1"/>
  <c r="E19" i="1"/>
  <c r="E15" i="1"/>
  <c r="E11" i="1"/>
  <c r="F58" i="1"/>
  <c r="S58" i="1" s="1"/>
  <c r="E56" i="1"/>
  <c r="E24" i="1"/>
  <c r="F47" i="1"/>
  <c r="S47" i="1" s="1"/>
  <c r="F27" i="1"/>
  <c r="S27" i="1" s="1"/>
  <c r="E52" i="1"/>
  <c r="F43" i="1"/>
  <c r="S43" i="1" s="1"/>
  <c r="E40" i="1"/>
  <c r="F35" i="1"/>
  <c r="S35" i="1" s="1"/>
  <c r="E36" i="1"/>
  <c r="F51" i="1"/>
  <c r="S51" i="1" s="1"/>
  <c r="F31" i="1"/>
  <c r="S31" i="1" s="1"/>
  <c r="E48" i="1"/>
  <c r="E32" i="1"/>
  <c r="E44" i="1"/>
  <c r="E28" i="1"/>
  <c r="F55" i="1"/>
  <c r="S55" i="1" s="1"/>
  <c r="F39" i="1"/>
  <c r="S39" i="1" s="1"/>
  <c r="F23" i="1"/>
  <c r="S23" i="1" s="1"/>
  <c r="E54" i="1"/>
  <c r="E50" i="1"/>
  <c r="E46" i="1"/>
  <c r="E42" i="1"/>
  <c r="E38" i="1"/>
  <c r="E34" i="1"/>
  <c r="E30" i="1"/>
  <c r="E26" i="1"/>
  <c r="E22" i="1"/>
  <c r="F57" i="1"/>
  <c r="S57" i="1" s="1"/>
  <c r="F53" i="1"/>
  <c r="S53" i="1" s="1"/>
  <c r="F49" i="1"/>
  <c r="S49" i="1" s="1"/>
  <c r="F45" i="1"/>
  <c r="S45" i="1" s="1"/>
  <c r="F41" i="1"/>
  <c r="S41" i="1" s="1"/>
  <c r="F37" i="1"/>
  <c r="S37" i="1" s="1"/>
  <c r="F33" i="1"/>
  <c r="S33" i="1" s="1"/>
  <c r="F29" i="1"/>
  <c r="S29" i="1" s="1"/>
  <c r="F25" i="1"/>
  <c r="S25" i="1" s="1"/>
  <c r="F21" i="1"/>
  <c r="S21" i="1" s="1"/>
  <c r="F62" i="1" l="1"/>
  <c r="H62" i="1" l="1"/>
  <c r="G62" i="1"/>
</calcChain>
</file>

<file path=xl/sharedStrings.xml><?xml version="1.0" encoding="utf-8"?>
<sst xmlns="http://schemas.openxmlformats.org/spreadsheetml/2006/main" count="105" uniqueCount="68">
  <si>
    <t xml:space="preserve">Titre B : </t>
  </si>
  <si>
    <t>Titre A :</t>
  </si>
  <si>
    <t>Rendement</t>
  </si>
  <si>
    <t>Volatilité</t>
  </si>
  <si>
    <t>correlation</t>
  </si>
  <si>
    <t>Portefeuilles</t>
  </si>
  <si>
    <t>Poids titre A</t>
  </si>
  <si>
    <t>Poids titre B</t>
  </si>
  <si>
    <t>Rendement PTF</t>
  </si>
  <si>
    <t>Volatilité PTF</t>
  </si>
  <si>
    <t>Vol Min</t>
  </si>
  <si>
    <t>P1</t>
  </si>
  <si>
    <t>Vol Min - VOL A (BP)</t>
  </si>
  <si>
    <t>coupon</t>
  </si>
  <si>
    <t>periode</t>
  </si>
  <si>
    <t>Courbe de taux zéro coupon</t>
  </si>
  <si>
    <t>prix oblig</t>
  </si>
  <si>
    <t>epsilon</t>
  </si>
  <si>
    <t>Maturité(Y)</t>
  </si>
  <si>
    <t>Taux ZC</t>
  </si>
  <si>
    <t>Prix ZC</t>
  </si>
  <si>
    <t>Prix "théorique"</t>
  </si>
  <si>
    <t>Prix "ajusté"</t>
  </si>
  <si>
    <t>I) Modélisation du titre.</t>
  </si>
  <si>
    <t>II) Calcul de sensibilité</t>
  </si>
  <si>
    <t>Taux ZC+ 1BP</t>
  </si>
  <si>
    <t>III) Key rates</t>
  </si>
  <si>
    <t>Nominal</t>
  </si>
  <si>
    <t>Key Rates</t>
  </si>
  <si>
    <r>
      <t xml:space="preserve">Courbe de taux zéro coupon </t>
    </r>
    <r>
      <rPr>
        <b/>
        <sz val="11"/>
        <color theme="1"/>
        <rFont val="Calibri"/>
        <family val="2"/>
        <scheme val="minor"/>
      </rPr>
      <t>- Δy</t>
    </r>
  </si>
  <si>
    <r>
      <t xml:space="preserve">Courbe de taux zéro coupon </t>
    </r>
    <r>
      <rPr>
        <b/>
        <sz val="11"/>
        <color theme="1"/>
        <rFont val="Calibri"/>
        <family val="2"/>
        <scheme val="minor"/>
      </rPr>
      <t>+ Δy</t>
    </r>
  </si>
  <si>
    <t xml:space="preserve">Δy : </t>
  </si>
  <si>
    <t>PRIX tilté -</t>
  </si>
  <si>
    <t>PRIX tilté +</t>
  </si>
  <si>
    <t>Vecteur expo bond</t>
  </si>
  <si>
    <t>1Y</t>
  </si>
  <si>
    <t>2Y</t>
  </si>
  <si>
    <t>3Y</t>
  </si>
  <si>
    <t>4Y</t>
  </si>
  <si>
    <t>5Y</t>
  </si>
  <si>
    <t>25% cash USD</t>
  </si>
  <si>
    <t>75% Bond GOV 5Y</t>
  </si>
  <si>
    <t>change USD/EUR</t>
  </si>
  <si>
    <t>EXPO</t>
  </si>
  <si>
    <t>VCV</t>
  </si>
  <si>
    <t xml:space="preserve">VOL PTF : </t>
  </si>
  <si>
    <t>Vecteur expo bond (report onglet précédent)</t>
  </si>
  <si>
    <t>Courbe de taux zéro coupon ajustée</t>
  </si>
  <si>
    <t>Prix ZC - Δy</t>
  </si>
  <si>
    <t>Taux ZC+ Δy</t>
  </si>
  <si>
    <r>
      <t xml:space="preserve">Taux ZC + </t>
    </r>
    <r>
      <rPr>
        <sz val="11"/>
        <color theme="1"/>
        <rFont val="Calibri"/>
        <family val="2"/>
      </rPr>
      <t>ε</t>
    </r>
  </si>
  <si>
    <t>IV) Mapping en duration ?</t>
  </si>
  <si>
    <t>actual. ZC - Δy</t>
  </si>
  <si>
    <t>Prix  ZC + 1BP</t>
  </si>
  <si>
    <t>Prix( - Δy)</t>
  </si>
  <si>
    <t>Taux ZC- 1BP</t>
  </si>
  <si>
    <t>Taux ZC+1BP</t>
  </si>
  <si>
    <t>actual. ZC + Δy</t>
  </si>
  <si>
    <t>Prix(+ Δy)</t>
  </si>
  <si>
    <t>M Duration</t>
  </si>
  <si>
    <t>VCV, pas de calcul Hebdomadaire</t>
  </si>
  <si>
    <t>Volatilité portefeuille</t>
  </si>
  <si>
    <t>MD</t>
  </si>
  <si>
    <t>Total</t>
  </si>
  <si>
    <t xml:space="preserve">  FX</t>
  </si>
  <si>
    <t xml:space="preserve">  Taux</t>
  </si>
  <si>
    <t>1) Cash flow mapping</t>
  </si>
  <si>
    <t>1) Duration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</si>
</sst>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12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10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9" fontId="0" fillId="0" borderId="4" xfId="0" applyNumberFormat="1" applyBorder="1"/>
    <xf numFmtId="9" fontId="0" fillId="0" borderId="5" xfId="0" applyNumberFormat="1" applyBorder="1"/>
    <xf numFmtId="9" fontId="0" fillId="0" borderId="6" xfId="0" applyNumberFormat="1" applyBorder="1"/>
    <xf numFmtId="9" fontId="0" fillId="0" borderId="7" xfId="0" applyNumberFormat="1" applyBorder="1"/>
    <xf numFmtId="0" fontId="0" fillId="0" borderId="8" xfId="0" applyBorder="1"/>
    <xf numFmtId="0" fontId="0" fillId="0" borderId="9" xfId="0" applyBorder="1"/>
    <xf numFmtId="10" fontId="0" fillId="0" borderId="10" xfId="0" applyNumberFormat="1" applyBorder="1"/>
    <xf numFmtId="10" fontId="0" fillId="0" borderId="5" xfId="0" applyNumberFormat="1" applyBorder="1" applyAlignment="1"/>
    <xf numFmtId="10" fontId="0" fillId="0" borderId="0" xfId="0" applyNumberFormat="1" applyBorder="1"/>
    <xf numFmtId="10" fontId="0" fillId="0" borderId="7" xfId="0" applyNumberFormat="1" applyBorder="1" applyAlignment="1"/>
    <xf numFmtId="9" fontId="0" fillId="0" borderId="8" xfId="0" applyNumberFormat="1" applyBorder="1"/>
    <xf numFmtId="10" fontId="0" fillId="0" borderId="11" xfId="0" applyNumberFormat="1" applyBorder="1"/>
    <xf numFmtId="10" fontId="0" fillId="0" borderId="9" xfId="0" applyNumberFormat="1" applyBorder="1" applyAlignment="1"/>
    <xf numFmtId="9" fontId="0" fillId="0" borderId="10" xfId="0" applyNumberFormat="1" applyBorder="1"/>
    <xf numFmtId="9" fontId="0" fillId="0" borderId="0" xfId="0" applyNumberFormat="1" applyBorder="1"/>
    <xf numFmtId="9" fontId="0" fillId="0" borderId="11" xfId="0" applyNumberFormat="1" applyBorder="1"/>
    <xf numFmtId="10" fontId="0" fillId="0" borderId="0" xfId="0" applyNumberFormat="1" applyBorder="1" applyAlignment="1"/>
    <xf numFmtId="0" fontId="0" fillId="0" borderId="4" xfId="0" applyBorder="1"/>
    <xf numFmtId="0" fontId="0" fillId="0" borderId="10" xfId="0" applyBorder="1"/>
    <xf numFmtId="0" fontId="1" fillId="0" borderId="10" xfId="0" applyFont="1" applyBorder="1"/>
    <xf numFmtId="0" fontId="0" fillId="0" borderId="5" xfId="0" applyBorder="1"/>
    <xf numFmtId="0" fontId="1" fillId="0" borderId="8" xfId="0" applyFont="1" applyBorder="1"/>
    <xf numFmtId="0" fontId="0" fillId="0" borderId="11" xfId="0" applyBorder="1"/>
    <xf numFmtId="0" fontId="0" fillId="0" borderId="6" xfId="0" applyBorder="1"/>
    <xf numFmtId="0" fontId="6" fillId="0" borderId="0" xfId="0" applyFont="1"/>
    <xf numFmtId="0" fontId="0" fillId="0" borderId="0" xfId="0" applyFill="1" applyBorder="1"/>
    <xf numFmtId="0" fontId="7" fillId="0" borderId="0" xfId="0" applyFont="1"/>
    <xf numFmtId="0" fontId="0" fillId="0" borderId="1" xfId="0" applyBorder="1"/>
    <xf numFmtId="0" fontId="0" fillId="0" borderId="3" xfId="0" applyBorder="1"/>
    <xf numFmtId="2" fontId="0" fillId="0" borderId="11" xfId="0" applyNumberFormat="1" applyBorder="1"/>
    <xf numFmtId="0" fontId="0" fillId="2" borderId="5" xfId="0" applyFill="1" applyBorder="1"/>
    <xf numFmtId="0" fontId="0" fillId="2" borderId="7" xfId="0" applyFill="1" applyBorder="1"/>
    <xf numFmtId="0" fontId="0" fillId="2" borderId="9" xfId="0" applyFill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Border="1"/>
    <xf numFmtId="10" fontId="0" fillId="0" borderId="9" xfId="0" applyNumberFormat="1" applyBorder="1"/>
    <xf numFmtId="9" fontId="8" fillId="0" borderId="5" xfId="0" applyNumberFormat="1" applyFont="1" applyBorder="1"/>
    <xf numFmtId="0" fontId="8" fillId="0" borderId="7" xfId="0" applyFont="1" applyBorder="1"/>
    <xf numFmtId="9" fontId="8" fillId="0" borderId="9" xfId="0" applyNumberFormat="1" applyFont="1" applyBorder="1"/>
    <xf numFmtId="0" fontId="8" fillId="0" borderId="4" xfId="0" applyFont="1" applyBorder="1"/>
    <xf numFmtId="10" fontId="8" fillId="0" borderId="10" xfId="0" applyNumberFormat="1" applyFont="1" applyBorder="1"/>
    <xf numFmtId="0" fontId="8" fillId="0" borderId="6" xfId="0" applyFont="1" applyBorder="1"/>
    <xf numFmtId="10" fontId="8" fillId="0" borderId="0" xfId="0" applyNumberFormat="1" applyFont="1" applyBorder="1"/>
    <xf numFmtId="0" fontId="8" fillId="0" borderId="8" xfId="0" applyFont="1" applyBorder="1"/>
    <xf numFmtId="10" fontId="8" fillId="0" borderId="11" xfId="0" applyNumberFormat="1" applyFont="1" applyBorder="1"/>
    <xf numFmtId="2" fontId="2" fillId="6" borderId="5" xfId="0" applyNumberFormat="1" applyFont="1" applyFill="1" applyBorder="1"/>
    <xf numFmtId="2" fontId="2" fillId="6" borderId="7" xfId="0" applyNumberFormat="1" applyFont="1" applyFill="1" applyBorder="1"/>
    <xf numFmtId="2" fontId="2" fillId="6" borderId="9" xfId="0" applyNumberFormat="1" applyFont="1" applyFill="1" applyBorder="1"/>
    <xf numFmtId="2" fontId="9" fillId="6" borderId="5" xfId="0" applyNumberFormat="1" applyFont="1" applyFill="1" applyBorder="1"/>
    <xf numFmtId="2" fontId="9" fillId="6" borderId="7" xfId="0" applyNumberFormat="1" applyFont="1" applyFill="1" applyBorder="1"/>
    <xf numFmtId="2" fontId="9" fillId="6" borderId="9" xfId="0" applyNumberFormat="1" applyFont="1" applyFill="1" applyBorder="1"/>
    <xf numFmtId="2" fontId="9" fillId="6" borderId="0" xfId="0" applyNumberFormat="1" applyFont="1" applyFill="1"/>
    <xf numFmtId="10" fontId="0" fillId="6" borderId="10" xfId="0" applyNumberFormat="1" applyFill="1" applyBorder="1"/>
    <xf numFmtId="10" fontId="0" fillId="6" borderId="0" xfId="0" applyNumberFormat="1" applyFill="1" applyBorder="1"/>
    <xf numFmtId="10" fontId="0" fillId="6" borderId="11" xfId="0" applyNumberFormat="1" applyFill="1" applyBorder="1"/>
    <xf numFmtId="10" fontId="5" fillId="6" borderId="0" xfId="0" applyNumberFormat="1" applyFont="1" applyFill="1"/>
    <xf numFmtId="2" fontId="9" fillId="6" borderId="0" xfId="0" applyNumberFormat="1" applyFont="1" applyFill="1" applyBorder="1"/>
    <xf numFmtId="10" fontId="1" fillId="0" borderId="0" xfId="0" applyNumberFormat="1" applyFont="1"/>
    <xf numFmtId="2" fontId="2" fillId="6" borderId="12" xfId="0" applyNumberFormat="1" applyFont="1" applyFill="1" applyBorder="1"/>
    <xf numFmtId="2" fontId="2" fillId="6" borderId="14" xfId="0" applyNumberFormat="1" applyFont="1" applyFill="1" applyBorder="1"/>
    <xf numFmtId="2" fontId="2" fillId="6" borderId="13" xfId="0" applyNumberFormat="1" applyFont="1" applyFill="1" applyBorder="1"/>
    <xf numFmtId="2" fontId="0" fillId="6" borderId="5" xfId="0" applyNumberFormat="1" applyFill="1" applyBorder="1"/>
    <xf numFmtId="2" fontId="0" fillId="6" borderId="7" xfId="0" applyNumberFormat="1" applyFill="1" applyBorder="1"/>
    <xf numFmtId="2" fontId="0" fillId="6" borderId="9" xfId="0" applyNumberFormat="1" applyFill="1" applyBorder="1"/>
    <xf numFmtId="0" fontId="0" fillId="6" borderId="15" xfId="0" applyFill="1" applyBorder="1"/>
    <xf numFmtId="10" fontId="0" fillId="0" borderId="13" xfId="0" applyNumberFormat="1" applyBorder="1"/>
    <xf numFmtId="10" fontId="0" fillId="0" borderId="14" xfId="0" applyNumberFormat="1" applyBorder="1"/>
    <xf numFmtId="0" fontId="1" fillId="0" borderId="11" xfId="0" applyFont="1" applyBorder="1"/>
    <xf numFmtId="2" fontId="0" fillId="6" borderId="15" xfId="0" applyNumberFormat="1" applyFill="1" applyBorder="1"/>
    <xf numFmtId="2" fontId="5" fillId="7" borderId="0" xfId="0" applyNumberFormat="1" applyFont="1" applyFill="1"/>
    <xf numFmtId="2" fontId="5" fillId="8" borderId="0" xfId="0" applyNumberFormat="1" applyFont="1" applyFill="1"/>
    <xf numFmtId="2" fontId="1" fillId="3" borderId="4" xfId="0" applyNumberFormat="1" applyFont="1" applyFill="1" applyBorder="1"/>
    <xf numFmtId="2" fontId="0" fillId="3" borderId="10" xfId="0" applyNumberFormat="1" applyFill="1" applyBorder="1"/>
    <xf numFmtId="2" fontId="0" fillId="3" borderId="5" xfId="0" applyNumberFormat="1" applyFill="1" applyBorder="1"/>
    <xf numFmtId="2" fontId="0" fillId="3" borderId="6" xfId="0" applyNumberFormat="1" applyFill="1" applyBorder="1"/>
    <xf numFmtId="2" fontId="1" fillId="3" borderId="0" xfId="0" applyNumberFormat="1" applyFont="1" applyFill="1" applyBorder="1"/>
    <xf numFmtId="2" fontId="0" fillId="3" borderId="0" xfId="0" applyNumberFormat="1" applyFill="1" applyBorder="1"/>
    <xf numFmtId="2" fontId="0" fillId="3" borderId="7" xfId="0" applyNumberFormat="1" applyFill="1" applyBorder="1"/>
    <xf numFmtId="2" fontId="0" fillId="3" borderId="8" xfId="0" applyNumberFormat="1" applyFill="1" applyBorder="1"/>
    <xf numFmtId="2" fontId="0" fillId="3" borderId="11" xfId="0" applyNumberFormat="1" applyFill="1" applyBorder="1"/>
    <xf numFmtId="2" fontId="1" fillId="3" borderId="9" xfId="0" applyNumberFormat="1" applyFont="1" applyFill="1" applyBorder="1"/>
    <xf numFmtId="0" fontId="1" fillId="0" borderId="0" xfId="0" applyFont="1" applyFill="1" applyBorder="1"/>
    <xf numFmtId="2" fontId="0" fillId="4" borderId="4" xfId="0" applyNumberFormat="1" applyFill="1" applyBorder="1"/>
    <xf numFmtId="2" fontId="0" fillId="4" borderId="9" xfId="0" applyNumberFormat="1" applyFill="1" applyBorder="1"/>
    <xf numFmtId="2" fontId="0" fillId="4" borderId="5" xfId="0" applyNumberFormat="1" applyFill="1" applyBorder="1"/>
    <xf numFmtId="2" fontId="0" fillId="4" borderId="8" xfId="0" applyNumberFormat="1" applyFill="1" applyBorder="1"/>
    <xf numFmtId="0" fontId="0" fillId="5" borderId="5" xfId="0" applyFill="1" applyBorder="1"/>
    <xf numFmtId="0" fontId="0" fillId="5" borderId="9" xfId="0" applyFill="1" applyBorder="1"/>
    <xf numFmtId="0" fontId="1" fillId="0" borderId="4" xfId="0" applyFont="1" applyFill="1" applyBorder="1"/>
    <xf numFmtId="0" fontId="1" fillId="0" borderId="6" xfId="0" applyFont="1" applyFill="1" applyBorder="1"/>
    <xf numFmtId="0" fontId="1" fillId="0" borderId="8" xfId="0" applyFont="1" applyFill="1" applyBorder="1"/>
    <xf numFmtId="0" fontId="1" fillId="0" borderId="15" xfId="0" applyFont="1" applyFill="1" applyBorder="1"/>
    <xf numFmtId="0" fontId="1" fillId="0" borderId="12" xfId="0" applyFont="1" applyBorder="1"/>
    <xf numFmtId="10" fontId="5" fillId="5" borderId="5" xfId="0" applyNumberFormat="1" applyFont="1" applyFill="1" applyBorder="1"/>
    <xf numFmtId="10" fontId="0" fillId="5" borderId="7" xfId="0" applyNumberFormat="1" applyFill="1" applyBorder="1"/>
    <xf numFmtId="10" fontId="0" fillId="5" borderId="9" xfId="0" applyNumberFormat="1" applyFill="1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'Frontiere Efficiente'!$F$8</c:f>
              <c:strCache>
                <c:ptCount val="1"/>
                <c:pt idx="0">
                  <c:v>Volatilité PTF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3"/>
          </c:marker>
          <c:xVal>
            <c:numRef>
              <c:f>'Frontiere Efficiente'!$F$9:$F$59</c:f>
              <c:numCache>
                <c:formatCode>0.00%</c:formatCode>
                <c:ptCount val="51"/>
                <c:pt idx="0">
                  <c:v>0.14000000000000001</c:v>
                </c:pt>
                <c:pt idx="1">
                  <c:v>0.13720524771305215</c:v>
                </c:pt>
                <c:pt idx="2">
                  <c:v>0.13442142686342828</c:v>
                </c:pt>
                <c:pt idx="3">
                  <c:v>0.13164923091305927</c:v>
                </c:pt>
                <c:pt idx="4">
                  <c:v>0.12888940996063253</c:v>
                </c:pt>
                <c:pt idx="5">
                  <c:v>0.12614277624977185</c:v>
                </c:pt>
                <c:pt idx="6">
                  <c:v>0.12341021027451497</c:v>
                </c:pt>
                <c:pt idx="7">
                  <c:v>0.12069266754861292</c:v>
                </c:pt>
                <c:pt idx="8">
                  <c:v>0.11799118611150582</c:v>
                </c:pt>
                <c:pt idx="9">
                  <c:v>0.11530689485022136</c:v>
                </c:pt>
                <c:pt idx="10">
                  <c:v>0.11264102272262981</c:v>
                </c:pt>
                <c:pt idx="11">
                  <c:v>0.10999490897309749</c:v>
                </c:pt>
                <c:pt idx="12">
                  <c:v>0.10737001443606126</c:v>
                </c:pt>
                <c:pt idx="13">
                  <c:v>0.10476793402563593</c:v>
                </c:pt>
                <c:pt idx="14">
                  <c:v>0.10219041050901009</c:v>
                </c:pt>
                <c:pt idx="15">
                  <c:v>9.9639349656649195E-2</c:v>
                </c:pt>
                <c:pt idx="16">
                  <c:v>9.7116836851289592E-2</c:v>
                </c:pt>
                <c:pt idx="17">
                  <c:v>9.4625155217838347E-2</c:v>
                </c:pt>
                <c:pt idx="18">
                  <c:v>9.2166805304295982E-2</c:v>
                </c:pt>
                <c:pt idx="19">
                  <c:v>8.9744526295479451E-2</c:v>
                </c:pt>
                <c:pt idx="20">
                  <c:v>8.736131867136622E-2</c:v>
                </c:pt>
                <c:pt idx="21">
                  <c:v>8.5020468123858287E-2</c:v>
                </c:pt>
                <c:pt idx="22">
                  <c:v>8.2725570412055804E-2</c:v>
                </c:pt>
                <c:pt idx="23">
                  <c:v>8.0480556658114655E-2</c:v>
                </c:pt>
                <c:pt idx="24">
                  <c:v>7.8289718354327992E-2</c:v>
                </c:pt>
                <c:pt idx="25">
                  <c:v>7.6157731058639086E-2</c:v>
                </c:pt>
                <c:pt idx="26">
                  <c:v>7.4089675394079027E-2</c:v>
                </c:pt>
                <c:pt idx="27">
                  <c:v>7.2091053536482597E-2</c:v>
                </c:pt>
                <c:pt idx="28">
                  <c:v>7.0167798882393342E-2</c:v>
                </c:pt>
                <c:pt idx="29">
                  <c:v>6.8326276058336452E-2</c:v>
                </c:pt>
                <c:pt idx="30">
                  <c:v>6.6573267908372966E-2</c:v>
                </c:pt>
                <c:pt idx="31">
                  <c:v>6.4915945652820925E-2</c:v>
                </c:pt>
                <c:pt idx="32">
                  <c:v>6.3361818155731608E-2</c:v>
                </c:pt>
                <c:pt idx="33">
                  <c:v>6.1918656316170169E-2</c:v>
                </c:pt>
                <c:pt idx="34">
                  <c:v>6.0594389179197114E-2</c:v>
                </c:pt>
                <c:pt idx="35">
                  <c:v>5.9396969619669997E-2</c:v>
                </c:pt>
                <c:pt idx="36">
                  <c:v>5.8334209517229257E-2</c:v>
                </c:pt>
                <c:pt idx="37">
                  <c:v>5.7413587242045767E-2</c:v>
                </c:pt>
                <c:pt idx="38">
                  <c:v>5.6642033861788545E-2</c:v>
                </c:pt>
                <c:pt idx="39">
                  <c:v>5.6025708384633569E-2</c:v>
                </c:pt>
                <c:pt idx="40">
                  <c:v>5.5569775957799217E-2</c:v>
                </c:pt>
                <c:pt idx="41">
                  <c:v>5.5278205470148903E-2</c:v>
                </c:pt>
                <c:pt idx="42">
                  <c:v>5.515360369005818E-2</c:v>
                </c:pt>
                <c:pt idx="43">
                  <c:v>5.5197101373169945E-2</c:v>
                </c:pt>
                <c:pt idx="44">
                  <c:v>5.5408302626952941E-2</c:v>
                </c:pt>
                <c:pt idx="45">
                  <c:v>5.5785302723925415E-2</c:v>
                </c:pt>
                <c:pt idx="46">
                  <c:v>5.6324772525062183E-2</c:v>
                </c:pt>
                <c:pt idx="47">
                  <c:v>5.7022100978480261E-2</c:v>
                </c:pt>
                <c:pt idx="48">
                  <c:v>5.7871581972501841E-2</c:v>
                </c:pt>
                <c:pt idx="49">
                  <c:v>5.8866628916560179E-2</c:v>
                </c:pt>
                <c:pt idx="50">
                  <c:v>0.06</c:v>
                </c:pt>
              </c:numCache>
            </c:numRef>
          </c:xVal>
          <c:yVal>
            <c:numRef>
              <c:f>'Frontiere Efficiente'!$E$9:$E$59</c:f>
              <c:numCache>
                <c:formatCode>0.00%</c:formatCode>
                <c:ptCount val="51"/>
                <c:pt idx="0">
                  <c:v>0.06</c:v>
                </c:pt>
                <c:pt idx="1">
                  <c:v>5.9400000000000001E-2</c:v>
                </c:pt>
                <c:pt idx="2">
                  <c:v>5.8799999999999998E-2</c:v>
                </c:pt>
                <c:pt idx="3">
                  <c:v>5.8199999999999995E-2</c:v>
                </c:pt>
                <c:pt idx="4">
                  <c:v>5.7599999999999998E-2</c:v>
                </c:pt>
                <c:pt idx="5">
                  <c:v>5.7000000000000002E-2</c:v>
                </c:pt>
                <c:pt idx="6">
                  <c:v>5.6399999999999999E-2</c:v>
                </c:pt>
                <c:pt idx="7">
                  <c:v>5.5800000000000002E-2</c:v>
                </c:pt>
                <c:pt idx="8">
                  <c:v>5.5199999999999992E-2</c:v>
                </c:pt>
                <c:pt idx="9">
                  <c:v>5.4600000000000003E-2</c:v>
                </c:pt>
                <c:pt idx="10">
                  <c:v>5.3999999999999999E-2</c:v>
                </c:pt>
                <c:pt idx="11">
                  <c:v>5.3400000000000003E-2</c:v>
                </c:pt>
                <c:pt idx="12">
                  <c:v>5.28E-2</c:v>
                </c:pt>
                <c:pt idx="13">
                  <c:v>5.2199999999999996E-2</c:v>
                </c:pt>
                <c:pt idx="14">
                  <c:v>5.1599999999999993E-2</c:v>
                </c:pt>
                <c:pt idx="15">
                  <c:v>5.0999999999999997E-2</c:v>
                </c:pt>
                <c:pt idx="16">
                  <c:v>5.0399999999999993E-2</c:v>
                </c:pt>
                <c:pt idx="17">
                  <c:v>4.9799999999999997E-2</c:v>
                </c:pt>
                <c:pt idx="18">
                  <c:v>4.9199999999999994E-2</c:v>
                </c:pt>
                <c:pt idx="19">
                  <c:v>4.8599999999999997E-2</c:v>
                </c:pt>
                <c:pt idx="20">
                  <c:v>4.8000000000000001E-2</c:v>
                </c:pt>
                <c:pt idx="21">
                  <c:v>4.7400000000000005E-2</c:v>
                </c:pt>
                <c:pt idx="22">
                  <c:v>4.6800000000000008E-2</c:v>
                </c:pt>
                <c:pt idx="23">
                  <c:v>4.6199999999999998E-2</c:v>
                </c:pt>
                <c:pt idx="24">
                  <c:v>4.5600000000000002E-2</c:v>
                </c:pt>
                <c:pt idx="25">
                  <c:v>4.4999999999999998E-2</c:v>
                </c:pt>
                <c:pt idx="26">
                  <c:v>4.4399999999999995E-2</c:v>
                </c:pt>
                <c:pt idx="27">
                  <c:v>4.3799999999999992E-2</c:v>
                </c:pt>
                <c:pt idx="28">
                  <c:v>4.3200000000000002E-2</c:v>
                </c:pt>
                <c:pt idx="29">
                  <c:v>4.2599999999999999E-2</c:v>
                </c:pt>
                <c:pt idx="30">
                  <c:v>4.1999999999999996E-2</c:v>
                </c:pt>
                <c:pt idx="31">
                  <c:v>4.1399999999999999E-2</c:v>
                </c:pt>
                <c:pt idx="32">
                  <c:v>4.0799999999999996E-2</c:v>
                </c:pt>
                <c:pt idx="33">
                  <c:v>4.02E-2</c:v>
                </c:pt>
                <c:pt idx="34">
                  <c:v>3.9599999999999996E-2</c:v>
                </c:pt>
                <c:pt idx="35">
                  <c:v>3.9E-2</c:v>
                </c:pt>
                <c:pt idx="36">
                  <c:v>3.8400000000000004E-2</c:v>
                </c:pt>
                <c:pt idx="37">
                  <c:v>3.78E-2</c:v>
                </c:pt>
                <c:pt idx="38">
                  <c:v>3.7199999999999997E-2</c:v>
                </c:pt>
                <c:pt idx="39">
                  <c:v>3.6600000000000001E-2</c:v>
                </c:pt>
                <c:pt idx="40">
                  <c:v>3.5999999999999997E-2</c:v>
                </c:pt>
                <c:pt idx="41">
                  <c:v>3.5400000000000001E-2</c:v>
                </c:pt>
                <c:pt idx="42">
                  <c:v>3.4799999999999998E-2</c:v>
                </c:pt>
                <c:pt idx="43">
                  <c:v>3.4200000000000001E-2</c:v>
                </c:pt>
                <c:pt idx="44">
                  <c:v>3.3599999999999998E-2</c:v>
                </c:pt>
                <c:pt idx="45">
                  <c:v>3.3000000000000002E-2</c:v>
                </c:pt>
                <c:pt idx="46">
                  <c:v>3.2399999999999998E-2</c:v>
                </c:pt>
                <c:pt idx="47">
                  <c:v>3.1800000000000002E-2</c:v>
                </c:pt>
                <c:pt idx="48">
                  <c:v>3.1200000000000002E-2</c:v>
                </c:pt>
                <c:pt idx="49">
                  <c:v>3.0599999999999999E-2</c:v>
                </c:pt>
                <c:pt idx="5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27-45A8-A910-E3F0C0845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71808"/>
        <c:axId val="121856768"/>
      </c:scatterChart>
      <c:valAx>
        <c:axId val="121271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volatilité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121856768"/>
        <c:crosses val="autoZero"/>
        <c:crossBetween val="midCat"/>
      </c:valAx>
      <c:valAx>
        <c:axId val="121856768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Rendement 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1212718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614362</xdr:colOff>
      <xdr:row>4</xdr:row>
      <xdr:rowOff>157162</xdr:rowOff>
    </xdr:from>
    <xdr:to>
      <xdr:col>12</xdr:col>
      <xdr:colOff>614362</xdr:colOff>
      <xdr:row>18</xdr:row>
      <xdr:rowOff>42862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447675</xdr:colOff>
      <xdr:row>0</xdr:row>
      <xdr:rowOff>152400</xdr:rowOff>
    </xdr:from>
    <xdr:to>
      <xdr:col>14</xdr:col>
      <xdr:colOff>381000</xdr:colOff>
      <xdr:row>3</xdr:row>
      <xdr:rowOff>47625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152400"/>
          <a:ext cx="526732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400050</xdr:colOff>
      <xdr:row>19</xdr:row>
      <xdr:rowOff>0</xdr:rowOff>
    </xdr:from>
    <xdr:to>
      <xdr:col>15</xdr:col>
      <xdr:colOff>571500</xdr:colOff>
      <xdr:row>61</xdr:row>
      <xdr:rowOff>0</xdr:rowOff>
    </xdr:to>
    <xdr:pic>
      <xdr:nvPicPr>
        <xdr:cNvPr id="4" name="Imag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3810000"/>
          <a:ext cx="474345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3"/>
  <sheetViews>
    <sheetView workbookViewId="0">
      <selection activeCell="C5" sqref="C5"/>
    </sheetView>
  </sheetViews>
  <sheetFormatPr defaultColWidth="11.42578125" defaultRowHeight="15" x14ac:dyDescent="0.25"/>
  <cols>
    <col min="3" max="6" width="9.7109375" customWidth="1"/>
  </cols>
  <sheetData>
    <row r="1" spans="2:20" x14ac:dyDescent="0.25">
      <c r="C1" s="2" t="s">
        <v>2</v>
      </c>
      <c r="D1" s="2" t="s">
        <v>3</v>
      </c>
    </row>
    <row r="2" spans="2:20" x14ac:dyDescent="0.25">
      <c r="B2" s="3" t="s">
        <v>1</v>
      </c>
      <c r="C2" s="8">
        <v>0.03</v>
      </c>
      <c r="D2" s="9">
        <v>0.06</v>
      </c>
    </row>
    <row r="3" spans="2:20" x14ac:dyDescent="0.25">
      <c r="B3" s="3" t="s">
        <v>0</v>
      </c>
      <c r="C3" s="10">
        <v>0.06</v>
      </c>
      <c r="D3" s="11">
        <v>0.14000000000000001</v>
      </c>
    </row>
    <row r="4" spans="2:20" x14ac:dyDescent="0.25">
      <c r="B4" s="3" t="s">
        <v>4</v>
      </c>
      <c r="C4" s="12">
        <v>0</v>
      </c>
      <c r="D4" s="13"/>
    </row>
    <row r="7" spans="2:20" x14ac:dyDescent="0.25">
      <c r="C7" s="105" t="s">
        <v>5</v>
      </c>
      <c r="D7" s="105"/>
    </row>
    <row r="8" spans="2:20" ht="30" x14ac:dyDescent="0.25">
      <c r="C8" s="5" t="s">
        <v>6</v>
      </c>
      <c r="D8" s="6" t="s">
        <v>7</v>
      </c>
      <c r="E8" s="6" t="s">
        <v>8</v>
      </c>
      <c r="F8" s="7" t="s">
        <v>9</v>
      </c>
    </row>
    <row r="9" spans="2:20" x14ac:dyDescent="0.25">
      <c r="C9" s="8">
        <v>0</v>
      </c>
      <c r="D9" s="21">
        <f>100%-C9</f>
        <v>1</v>
      </c>
      <c r="E9" s="14">
        <f t="shared" ref="E9:E40" si="0">C9*R_A+ D9 * R_B</f>
        <v>0.06</v>
      </c>
      <c r="F9" s="15">
        <f t="shared" ref="F9:F40" si="1">SQRT(C9*C9*V_A*V_A+D9*D9*V_B*V_B+2*C9*D9*COR*V_A*V_B)</f>
        <v>0.14000000000000001</v>
      </c>
      <c r="S9" s="4">
        <f>F9</f>
        <v>0.14000000000000001</v>
      </c>
      <c r="T9" s="1">
        <f>C9</f>
        <v>0</v>
      </c>
    </row>
    <row r="10" spans="2:20" x14ac:dyDescent="0.25">
      <c r="C10" s="10">
        <v>0.02</v>
      </c>
      <c r="D10" s="22">
        <f t="shared" ref="D10:D59" si="2">100%-C10</f>
        <v>0.98</v>
      </c>
      <c r="E10" s="16">
        <f t="shared" si="0"/>
        <v>5.9400000000000001E-2</v>
      </c>
      <c r="F10" s="17">
        <f t="shared" si="1"/>
        <v>0.13720524771305215</v>
      </c>
      <c r="S10" s="4">
        <f t="shared" ref="S10:S58" si="3">F10</f>
        <v>0.13720524771305215</v>
      </c>
      <c r="T10" s="1">
        <f t="shared" ref="T10:T59" si="4">C10</f>
        <v>0.02</v>
      </c>
    </row>
    <row r="11" spans="2:20" x14ac:dyDescent="0.25">
      <c r="C11" s="10">
        <v>0.04</v>
      </c>
      <c r="D11" s="22">
        <f t="shared" si="2"/>
        <v>0.96</v>
      </c>
      <c r="E11" s="16">
        <f t="shared" si="0"/>
        <v>5.8799999999999998E-2</v>
      </c>
      <c r="F11" s="17">
        <f t="shared" si="1"/>
        <v>0.13442142686342828</v>
      </c>
      <c r="S11" s="4">
        <f t="shared" si="3"/>
        <v>0.13442142686342828</v>
      </c>
      <c r="T11" s="1">
        <f t="shared" si="4"/>
        <v>0.04</v>
      </c>
    </row>
    <row r="12" spans="2:20" x14ac:dyDescent="0.25">
      <c r="C12" s="10">
        <v>0.06</v>
      </c>
      <c r="D12" s="22">
        <f t="shared" si="2"/>
        <v>0.94</v>
      </c>
      <c r="E12" s="16">
        <f t="shared" si="0"/>
        <v>5.8199999999999995E-2</v>
      </c>
      <c r="F12" s="17">
        <f t="shared" si="1"/>
        <v>0.13164923091305927</v>
      </c>
      <c r="S12" s="4">
        <f t="shared" si="3"/>
        <v>0.13164923091305927</v>
      </c>
      <c r="T12" s="1">
        <f t="shared" si="4"/>
        <v>0.06</v>
      </c>
    </row>
    <row r="13" spans="2:20" x14ac:dyDescent="0.25">
      <c r="C13" s="10">
        <v>0.08</v>
      </c>
      <c r="D13" s="22">
        <f t="shared" si="2"/>
        <v>0.92</v>
      </c>
      <c r="E13" s="16">
        <f t="shared" si="0"/>
        <v>5.7599999999999998E-2</v>
      </c>
      <c r="F13" s="17">
        <f t="shared" si="1"/>
        <v>0.12888940996063253</v>
      </c>
      <c r="S13" s="4">
        <f t="shared" si="3"/>
        <v>0.12888940996063253</v>
      </c>
      <c r="T13" s="1">
        <f t="shared" si="4"/>
        <v>0.08</v>
      </c>
    </row>
    <row r="14" spans="2:20" x14ac:dyDescent="0.25">
      <c r="C14" s="10">
        <v>0.1</v>
      </c>
      <c r="D14" s="22">
        <f t="shared" si="2"/>
        <v>0.9</v>
      </c>
      <c r="E14" s="16">
        <f t="shared" si="0"/>
        <v>5.7000000000000002E-2</v>
      </c>
      <c r="F14" s="17">
        <f t="shared" si="1"/>
        <v>0.12614277624977185</v>
      </c>
      <c r="S14" s="4">
        <f t="shared" si="3"/>
        <v>0.12614277624977185</v>
      </c>
      <c r="T14" s="1">
        <f t="shared" si="4"/>
        <v>0.1</v>
      </c>
    </row>
    <row r="15" spans="2:20" x14ac:dyDescent="0.25">
      <c r="C15" s="10">
        <v>0.12</v>
      </c>
      <c r="D15" s="22">
        <f t="shared" si="2"/>
        <v>0.88</v>
      </c>
      <c r="E15" s="16">
        <f t="shared" si="0"/>
        <v>5.6399999999999999E-2</v>
      </c>
      <c r="F15" s="17">
        <f t="shared" si="1"/>
        <v>0.12341021027451497</v>
      </c>
      <c r="S15" s="4">
        <f t="shared" si="3"/>
        <v>0.12341021027451497</v>
      </c>
      <c r="T15" s="1">
        <f t="shared" si="4"/>
        <v>0.12</v>
      </c>
    </row>
    <row r="16" spans="2:20" x14ac:dyDescent="0.25">
      <c r="C16" s="10">
        <v>0.14000000000000001</v>
      </c>
      <c r="D16" s="22">
        <f t="shared" si="2"/>
        <v>0.86</v>
      </c>
      <c r="E16" s="16">
        <f t="shared" si="0"/>
        <v>5.5800000000000002E-2</v>
      </c>
      <c r="F16" s="17">
        <f t="shared" si="1"/>
        <v>0.12069266754861292</v>
      </c>
      <c r="S16" s="4">
        <f t="shared" si="3"/>
        <v>0.12069266754861292</v>
      </c>
      <c r="T16" s="1">
        <f t="shared" si="4"/>
        <v>0.14000000000000001</v>
      </c>
    </row>
    <row r="17" spans="3:20" x14ac:dyDescent="0.25">
      <c r="C17" s="10">
        <v>0.16</v>
      </c>
      <c r="D17" s="22">
        <f t="shared" si="2"/>
        <v>0.84</v>
      </c>
      <c r="E17" s="16">
        <f t="shared" si="0"/>
        <v>5.5199999999999992E-2</v>
      </c>
      <c r="F17" s="17">
        <f t="shared" si="1"/>
        <v>0.11799118611150582</v>
      </c>
      <c r="S17" s="4">
        <f t="shared" si="3"/>
        <v>0.11799118611150582</v>
      </c>
      <c r="T17" s="1">
        <f t="shared" si="4"/>
        <v>0.16</v>
      </c>
    </row>
    <row r="18" spans="3:20" x14ac:dyDescent="0.25">
      <c r="C18" s="10">
        <v>0.18</v>
      </c>
      <c r="D18" s="22">
        <f t="shared" si="2"/>
        <v>0.82000000000000006</v>
      </c>
      <c r="E18" s="16">
        <f t="shared" si="0"/>
        <v>5.4600000000000003E-2</v>
      </c>
      <c r="F18" s="17">
        <f t="shared" si="1"/>
        <v>0.11530689485022136</v>
      </c>
      <c r="S18" s="4">
        <f t="shared" si="3"/>
        <v>0.11530689485022136</v>
      </c>
      <c r="T18" s="1">
        <f t="shared" si="4"/>
        <v>0.18</v>
      </c>
    </row>
    <row r="19" spans="3:20" x14ac:dyDescent="0.25">
      <c r="C19" s="10">
        <v>0.2</v>
      </c>
      <c r="D19" s="22">
        <f t="shared" si="2"/>
        <v>0.8</v>
      </c>
      <c r="E19" s="16">
        <f t="shared" si="0"/>
        <v>5.3999999999999999E-2</v>
      </c>
      <c r="F19" s="17">
        <f t="shared" si="1"/>
        <v>0.11264102272262981</v>
      </c>
      <c r="S19" s="4">
        <f t="shared" si="3"/>
        <v>0.11264102272262981</v>
      </c>
      <c r="T19" s="1">
        <f t="shared" si="4"/>
        <v>0.2</v>
      </c>
    </row>
    <row r="20" spans="3:20" ht="0.75" customHeight="1" x14ac:dyDescent="0.25">
      <c r="C20" s="10">
        <v>0.22</v>
      </c>
      <c r="D20" s="22">
        <f t="shared" si="2"/>
        <v>0.78</v>
      </c>
      <c r="E20" s="16">
        <f t="shared" si="0"/>
        <v>5.3400000000000003E-2</v>
      </c>
      <c r="F20" s="17">
        <f t="shared" si="1"/>
        <v>0.10999490897309749</v>
      </c>
      <c r="S20" s="4">
        <f t="shared" si="3"/>
        <v>0.10999490897309749</v>
      </c>
      <c r="T20" s="1">
        <f t="shared" si="4"/>
        <v>0.22</v>
      </c>
    </row>
    <row r="21" spans="3:20" ht="0.75" customHeight="1" x14ac:dyDescent="0.25">
      <c r="C21" s="10">
        <v>0.24</v>
      </c>
      <c r="D21" s="22">
        <f t="shared" si="2"/>
        <v>0.76</v>
      </c>
      <c r="E21" s="16">
        <f t="shared" si="0"/>
        <v>5.28E-2</v>
      </c>
      <c r="F21" s="17">
        <f t="shared" si="1"/>
        <v>0.10737001443606126</v>
      </c>
      <c r="S21" s="4">
        <f t="shared" si="3"/>
        <v>0.10737001443606126</v>
      </c>
      <c r="T21" s="1">
        <f t="shared" si="4"/>
        <v>0.24</v>
      </c>
    </row>
    <row r="22" spans="3:20" ht="0.75" customHeight="1" x14ac:dyDescent="0.25">
      <c r="C22" s="10">
        <v>0.26</v>
      </c>
      <c r="D22" s="22">
        <f t="shared" si="2"/>
        <v>0.74</v>
      </c>
      <c r="E22" s="16">
        <f t="shared" si="0"/>
        <v>5.2199999999999996E-2</v>
      </c>
      <c r="F22" s="17">
        <f t="shared" si="1"/>
        <v>0.10476793402563593</v>
      </c>
      <c r="S22" s="4">
        <f t="shared" si="3"/>
        <v>0.10476793402563593</v>
      </c>
      <c r="T22" s="1">
        <f t="shared" si="4"/>
        <v>0.26</v>
      </c>
    </row>
    <row r="23" spans="3:20" ht="0.75" customHeight="1" x14ac:dyDescent="0.25">
      <c r="C23" s="10">
        <v>0.28000000000000003</v>
      </c>
      <c r="D23" s="22">
        <f t="shared" si="2"/>
        <v>0.72</v>
      </c>
      <c r="E23" s="16">
        <f t="shared" si="0"/>
        <v>5.1599999999999993E-2</v>
      </c>
      <c r="F23" s="17">
        <f t="shared" si="1"/>
        <v>0.10219041050901009</v>
      </c>
      <c r="S23" s="4">
        <f t="shared" si="3"/>
        <v>0.10219041050901009</v>
      </c>
      <c r="T23" s="1">
        <f t="shared" si="4"/>
        <v>0.28000000000000003</v>
      </c>
    </row>
    <row r="24" spans="3:20" ht="0.75" customHeight="1" x14ac:dyDescent="0.25">
      <c r="C24" s="10">
        <v>0.3</v>
      </c>
      <c r="D24" s="22">
        <f t="shared" si="2"/>
        <v>0.7</v>
      </c>
      <c r="E24" s="16">
        <f t="shared" si="0"/>
        <v>5.0999999999999997E-2</v>
      </c>
      <c r="F24" s="17">
        <f t="shared" si="1"/>
        <v>9.9639349656649195E-2</v>
      </c>
      <c r="S24" s="4">
        <f t="shared" si="3"/>
        <v>9.9639349656649195E-2</v>
      </c>
      <c r="T24" s="1">
        <f t="shared" si="4"/>
        <v>0.3</v>
      </c>
    </row>
    <row r="25" spans="3:20" ht="0.75" customHeight="1" x14ac:dyDescent="0.25">
      <c r="C25" s="10">
        <v>0.32</v>
      </c>
      <c r="D25" s="22">
        <f t="shared" si="2"/>
        <v>0.67999999999999994</v>
      </c>
      <c r="E25" s="16">
        <f t="shared" si="0"/>
        <v>5.0399999999999993E-2</v>
      </c>
      <c r="F25" s="17">
        <f t="shared" si="1"/>
        <v>9.7116836851289592E-2</v>
      </c>
      <c r="S25" s="4">
        <f t="shared" si="3"/>
        <v>9.7116836851289592E-2</v>
      </c>
      <c r="T25" s="1">
        <f t="shared" si="4"/>
        <v>0.32</v>
      </c>
    </row>
    <row r="26" spans="3:20" ht="0.75" customHeight="1" x14ac:dyDescent="0.25">
      <c r="C26" s="10">
        <v>0.34</v>
      </c>
      <c r="D26" s="22">
        <f t="shared" si="2"/>
        <v>0.65999999999999992</v>
      </c>
      <c r="E26" s="16">
        <f t="shared" si="0"/>
        <v>4.9799999999999997E-2</v>
      </c>
      <c r="F26" s="17">
        <f t="shared" si="1"/>
        <v>9.4625155217838347E-2</v>
      </c>
      <c r="S26" s="4">
        <f t="shared" si="3"/>
        <v>9.4625155217838347E-2</v>
      </c>
      <c r="T26" s="1">
        <f t="shared" si="4"/>
        <v>0.34</v>
      </c>
    </row>
    <row r="27" spans="3:20" ht="0.75" customHeight="1" x14ac:dyDescent="0.25">
      <c r="C27" s="10">
        <v>0.36</v>
      </c>
      <c r="D27" s="22">
        <f t="shared" si="2"/>
        <v>0.64</v>
      </c>
      <c r="E27" s="16">
        <f t="shared" si="0"/>
        <v>4.9199999999999994E-2</v>
      </c>
      <c r="F27" s="17">
        <f t="shared" si="1"/>
        <v>9.2166805304295982E-2</v>
      </c>
      <c r="S27" s="4">
        <f t="shared" si="3"/>
        <v>9.2166805304295982E-2</v>
      </c>
      <c r="T27" s="1">
        <f t="shared" si="4"/>
        <v>0.36</v>
      </c>
    </row>
    <row r="28" spans="3:20" ht="0.75" customHeight="1" x14ac:dyDescent="0.25">
      <c r="C28" s="10">
        <v>0.38</v>
      </c>
      <c r="D28" s="22">
        <f t="shared" si="2"/>
        <v>0.62</v>
      </c>
      <c r="E28" s="16">
        <f t="shared" si="0"/>
        <v>4.8599999999999997E-2</v>
      </c>
      <c r="F28" s="17">
        <f t="shared" si="1"/>
        <v>8.9744526295479451E-2</v>
      </c>
      <c r="S28" s="4">
        <f t="shared" si="3"/>
        <v>8.9744526295479451E-2</v>
      </c>
      <c r="T28" s="1">
        <f t="shared" si="4"/>
        <v>0.38</v>
      </c>
    </row>
    <row r="29" spans="3:20" ht="0.75" customHeight="1" x14ac:dyDescent="0.25">
      <c r="C29" s="10">
        <v>0.4</v>
      </c>
      <c r="D29" s="22">
        <f t="shared" si="2"/>
        <v>0.6</v>
      </c>
      <c r="E29" s="16">
        <f t="shared" si="0"/>
        <v>4.8000000000000001E-2</v>
      </c>
      <c r="F29" s="17">
        <f t="shared" si="1"/>
        <v>8.736131867136622E-2</v>
      </c>
      <c r="S29" s="4">
        <f t="shared" si="3"/>
        <v>8.736131867136622E-2</v>
      </c>
      <c r="T29" s="1">
        <f t="shared" si="4"/>
        <v>0.4</v>
      </c>
    </row>
    <row r="30" spans="3:20" ht="0.75" customHeight="1" x14ac:dyDescent="0.25">
      <c r="C30" s="10">
        <v>0.42</v>
      </c>
      <c r="D30" s="22">
        <f t="shared" si="2"/>
        <v>0.58000000000000007</v>
      </c>
      <c r="E30" s="16">
        <f t="shared" si="0"/>
        <v>4.7400000000000005E-2</v>
      </c>
      <c r="F30" s="17">
        <f t="shared" si="1"/>
        <v>8.5020468123858287E-2</v>
      </c>
      <c r="S30" s="4">
        <f t="shared" si="3"/>
        <v>8.5020468123858287E-2</v>
      </c>
      <c r="T30" s="1">
        <f t="shared" si="4"/>
        <v>0.42</v>
      </c>
    </row>
    <row r="31" spans="3:20" ht="0.75" customHeight="1" x14ac:dyDescent="0.25">
      <c r="C31" s="10">
        <v>0.44</v>
      </c>
      <c r="D31" s="22">
        <f t="shared" si="2"/>
        <v>0.56000000000000005</v>
      </c>
      <c r="E31" s="16">
        <f t="shared" si="0"/>
        <v>4.6800000000000008E-2</v>
      </c>
      <c r="F31" s="17">
        <f t="shared" si="1"/>
        <v>8.2725570412055804E-2</v>
      </c>
      <c r="S31" s="4">
        <f t="shared" si="3"/>
        <v>8.2725570412055804E-2</v>
      </c>
      <c r="T31" s="1">
        <f t="shared" si="4"/>
        <v>0.44</v>
      </c>
    </row>
    <row r="32" spans="3:20" ht="0.75" customHeight="1" x14ac:dyDescent="0.25">
      <c r="C32" s="10">
        <v>0.46</v>
      </c>
      <c r="D32" s="22">
        <f t="shared" si="2"/>
        <v>0.54</v>
      </c>
      <c r="E32" s="16">
        <f t="shared" si="0"/>
        <v>4.6199999999999998E-2</v>
      </c>
      <c r="F32" s="17">
        <f t="shared" si="1"/>
        <v>8.0480556658114655E-2</v>
      </c>
      <c r="S32" s="4">
        <f t="shared" si="3"/>
        <v>8.0480556658114655E-2</v>
      </c>
      <c r="T32" s="1">
        <f t="shared" si="4"/>
        <v>0.46</v>
      </c>
    </row>
    <row r="33" spans="3:20" ht="0.75" customHeight="1" x14ac:dyDescent="0.25">
      <c r="C33" s="10">
        <v>0.48</v>
      </c>
      <c r="D33" s="22">
        <f t="shared" si="2"/>
        <v>0.52</v>
      </c>
      <c r="E33" s="16">
        <f t="shared" si="0"/>
        <v>4.5600000000000002E-2</v>
      </c>
      <c r="F33" s="17">
        <f t="shared" si="1"/>
        <v>7.8289718354327992E-2</v>
      </c>
      <c r="S33" s="4">
        <f t="shared" si="3"/>
        <v>7.8289718354327992E-2</v>
      </c>
      <c r="T33" s="1">
        <f t="shared" si="4"/>
        <v>0.48</v>
      </c>
    </row>
    <row r="34" spans="3:20" ht="0.75" customHeight="1" x14ac:dyDescent="0.25">
      <c r="C34" s="10">
        <v>0.5</v>
      </c>
      <c r="D34" s="22">
        <f t="shared" si="2"/>
        <v>0.5</v>
      </c>
      <c r="E34" s="16">
        <f t="shared" si="0"/>
        <v>4.4999999999999998E-2</v>
      </c>
      <c r="F34" s="17">
        <f t="shared" si="1"/>
        <v>7.6157731058639086E-2</v>
      </c>
      <c r="S34" s="4">
        <f t="shared" si="3"/>
        <v>7.6157731058639086E-2</v>
      </c>
      <c r="T34" s="1">
        <f t="shared" si="4"/>
        <v>0.5</v>
      </c>
    </row>
    <row r="35" spans="3:20" ht="0.75" customHeight="1" x14ac:dyDescent="0.25">
      <c r="C35" s="10">
        <v>0.52</v>
      </c>
      <c r="D35" s="22">
        <f t="shared" si="2"/>
        <v>0.48</v>
      </c>
      <c r="E35" s="16">
        <f t="shared" si="0"/>
        <v>4.4399999999999995E-2</v>
      </c>
      <c r="F35" s="17">
        <f t="shared" si="1"/>
        <v>7.4089675394079027E-2</v>
      </c>
      <c r="S35" s="4">
        <f t="shared" si="3"/>
        <v>7.4089675394079027E-2</v>
      </c>
      <c r="T35" s="1">
        <f t="shared" si="4"/>
        <v>0.52</v>
      </c>
    </row>
    <row r="36" spans="3:20" ht="0.75" customHeight="1" x14ac:dyDescent="0.25">
      <c r="C36" s="10">
        <v>0.54</v>
      </c>
      <c r="D36" s="22">
        <f t="shared" si="2"/>
        <v>0.45999999999999996</v>
      </c>
      <c r="E36" s="16">
        <f t="shared" si="0"/>
        <v>4.3799999999999992E-2</v>
      </c>
      <c r="F36" s="17">
        <f t="shared" si="1"/>
        <v>7.2091053536482597E-2</v>
      </c>
      <c r="S36" s="4">
        <f t="shared" si="3"/>
        <v>7.2091053536482597E-2</v>
      </c>
      <c r="T36" s="1">
        <f t="shared" si="4"/>
        <v>0.54</v>
      </c>
    </row>
    <row r="37" spans="3:20" ht="0.75" customHeight="1" x14ac:dyDescent="0.25">
      <c r="C37" s="10">
        <v>0.56000000000000005</v>
      </c>
      <c r="D37" s="22">
        <f t="shared" si="2"/>
        <v>0.43999999999999995</v>
      </c>
      <c r="E37" s="16">
        <f t="shared" si="0"/>
        <v>4.3200000000000002E-2</v>
      </c>
      <c r="F37" s="17">
        <f t="shared" si="1"/>
        <v>7.0167798882393342E-2</v>
      </c>
      <c r="S37" s="4">
        <f t="shared" si="3"/>
        <v>7.0167798882393342E-2</v>
      </c>
      <c r="T37" s="1">
        <f t="shared" si="4"/>
        <v>0.56000000000000005</v>
      </c>
    </row>
    <row r="38" spans="3:20" ht="0.75" customHeight="1" x14ac:dyDescent="0.25">
      <c r="C38" s="10">
        <v>0.57999999999999996</v>
      </c>
      <c r="D38" s="22">
        <f t="shared" si="2"/>
        <v>0.42000000000000004</v>
      </c>
      <c r="E38" s="16">
        <f t="shared" si="0"/>
        <v>4.2599999999999999E-2</v>
      </c>
      <c r="F38" s="17">
        <f t="shared" si="1"/>
        <v>6.8326276058336452E-2</v>
      </c>
      <c r="S38" s="4">
        <f t="shared" si="3"/>
        <v>6.8326276058336452E-2</v>
      </c>
      <c r="T38" s="1">
        <f t="shared" si="4"/>
        <v>0.57999999999999996</v>
      </c>
    </row>
    <row r="39" spans="3:20" ht="0.75" customHeight="1" x14ac:dyDescent="0.25">
      <c r="C39" s="10">
        <v>0.6</v>
      </c>
      <c r="D39" s="22">
        <f t="shared" si="2"/>
        <v>0.4</v>
      </c>
      <c r="E39" s="16">
        <f t="shared" si="0"/>
        <v>4.1999999999999996E-2</v>
      </c>
      <c r="F39" s="17">
        <f t="shared" si="1"/>
        <v>6.6573267908372966E-2</v>
      </c>
      <c r="S39" s="4">
        <f t="shared" si="3"/>
        <v>6.6573267908372966E-2</v>
      </c>
      <c r="T39" s="1">
        <f t="shared" si="4"/>
        <v>0.6</v>
      </c>
    </row>
    <row r="40" spans="3:20" ht="0.75" customHeight="1" x14ac:dyDescent="0.25">
      <c r="C40" s="10">
        <v>0.62</v>
      </c>
      <c r="D40" s="22">
        <f t="shared" si="2"/>
        <v>0.38</v>
      </c>
      <c r="E40" s="16">
        <f t="shared" si="0"/>
        <v>4.1399999999999999E-2</v>
      </c>
      <c r="F40" s="17">
        <f t="shared" si="1"/>
        <v>6.4915945652820925E-2</v>
      </c>
      <c r="S40" s="4">
        <f t="shared" si="3"/>
        <v>6.4915945652820925E-2</v>
      </c>
      <c r="T40" s="1">
        <f t="shared" si="4"/>
        <v>0.62</v>
      </c>
    </row>
    <row r="41" spans="3:20" ht="0.75" customHeight="1" x14ac:dyDescent="0.25">
      <c r="C41" s="10">
        <v>0.64</v>
      </c>
      <c r="D41" s="22">
        <f t="shared" si="2"/>
        <v>0.36</v>
      </c>
      <c r="E41" s="16">
        <f t="shared" ref="E41:E59" si="5">C41*R_A+ D41 * R_B</f>
        <v>4.0799999999999996E-2</v>
      </c>
      <c r="F41" s="17">
        <f t="shared" ref="F41:F59" si="6">SQRT(C41*C41*V_A*V_A+D41*D41*V_B*V_B+2*C41*D41*COR*V_A*V_B)</f>
        <v>6.3361818155731608E-2</v>
      </c>
      <c r="S41" s="4">
        <f t="shared" si="3"/>
        <v>6.3361818155731608E-2</v>
      </c>
      <c r="T41" s="1">
        <f t="shared" si="4"/>
        <v>0.64</v>
      </c>
    </row>
    <row r="42" spans="3:20" ht="0.75" customHeight="1" x14ac:dyDescent="0.25">
      <c r="C42" s="10">
        <v>0.66</v>
      </c>
      <c r="D42" s="22">
        <f t="shared" si="2"/>
        <v>0.33999999999999997</v>
      </c>
      <c r="E42" s="16">
        <f t="shared" si="5"/>
        <v>4.02E-2</v>
      </c>
      <c r="F42" s="17">
        <f t="shared" si="6"/>
        <v>6.1918656316170169E-2</v>
      </c>
      <c r="S42" s="4">
        <f t="shared" si="3"/>
        <v>6.1918656316170169E-2</v>
      </c>
      <c r="T42" s="1">
        <f t="shared" si="4"/>
        <v>0.66</v>
      </c>
    </row>
    <row r="43" spans="3:20" ht="0.75" customHeight="1" x14ac:dyDescent="0.25">
      <c r="C43" s="10">
        <v>0.68</v>
      </c>
      <c r="D43" s="22">
        <f t="shared" si="2"/>
        <v>0.31999999999999995</v>
      </c>
      <c r="E43" s="16">
        <f t="shared" si="5"/>
        <v>3.9599999999999996E-2</v>
      </c>
      <c r="F43" s="17">
        <f t="shared" si="6"/>
        <v>6.0594389179197114E-2</v>
      </c>
      <c r="S43" s="4">
        <f t="shared" si="3"/>
        <v>6.0594389179197114E-2</v>
      </c>
      <c r="T43" s="1">
        <f t="shared" si="4"/>
        <v>0.68</v>
      </c>
    </row>
    <row r="44" spans="3:20" ht="0.75" customHeight="1" x14ac:dyDescent="0.25">
      <c r="C44" s="10">
        <v>0.7</v>
      </c>
      <c r="D44" s="22">
        <f t="shared" si="2"/>
        <v>0.30000000000000004</v>
      </c>
      <c r="E44" s="16">
        <f t="shared" si="5"/>
        <v>3.9E-2</v>
      </c>
      <c r="F44" s="17">
        <f t="shared" si="6"/>
        <v>5.9396969619669997E-2</v>
      </c>
      <c r="S44" s="4">
        <f t="shared" si="3"/>
        <v>5.9396969619669997E-2</v>
      </c>
      <c r="T44" s="1">
        <f t="shared" si="4"/>
        <v>0.7</v>
      </c>
    </row>
    <row r="45" spans="3:20" ht="0.75" customHeight="1" x14ac:dyDescent="0.25">
      <c r="C45" s="10">
        <v>0.72</v>
      </c>
      <c r="D45" s="22">
        <f t="shared" si="2"/>
        <v>0.28000000000000003</v>
      </c>
      <c r="E45" s="16">
        <f t="shared" si="5"/>
        <v>3.8400000000000004E-2</v>
      </c>
      <c r="F45" s="17">
        <f t="shared" si="6"/>
        <v>5.8334209517229257E-2</v>
      </c>
      <c r="S45" s="4">
        <f t="shared" si="3"/>
        <v>5.8334209517229257E-2</v>
      </c>
      <c r="T45" s="1">
        <f t="shared" si="4"/>
        <v>0.72</v>
      </c>
    </row>
    <row r="46" spans="3:20" ht="0.75" customHeight="1" x14ac:dyDescent="0.25">
      <c r="C46" s="10">
        <v>0.74</v>
      </c>
      <c r="D46" s="22">
        <f t="shared" si="2"/>
        <v>0.26</v>
      </c>
      <c r="E46" s="16">
        <f t="shared" si="5"/>
        <v>3.78E-2</v>
      </c>
      <c r="F46" s="17">
        <f t="shared" si="6"/>
        <v>5.7413587242045767E-2</v>
      </c>
      <c r="S46" s="4">
        <f t="shared" si="3"/>
        <v>5.7413587242045767E-2</v>
      </c>
      <c r="T46" s="1">
        <f t="shared" si="4"/>
        <v>0.74</v>
      </c>
    </row>
    <row r="47" spans="3:20" ht="0.75" customHeight="1" x14ac:dyDescent="0.25">
      <c r="C47" s="10">
        <v>0.76</v>
      </c>
      <c r="D47" s="22">
        <f t="shared" si="2"/>
        <v>0.24</v>
      </c>
      <c r="E47" s="16">
        <f t="shared" si="5"/>
        <v>3.7199999999999997E-2</v>
      </c>
      <c r="F47" s="17">
        <f t="shared" si="6"/>
        <v>5.6642033861788545E-2</v>
      </c>
      <c r="S47" s="4">
        <f t="shared" si="3"/>
        <v>5.6642033861788545E-2</v>
      </c>
      <c r="T47" s="1">
        <f t="shared" si="4"/>
        <v>0.76</v>
      </c>
    </row>
    <row r="48" spans="3:20" ht="0.75" customHeight="1" x14ac:dyDescent="0.25">
      <c r="C48" s="10">
        <v>0.78</v>
      </c>
      <c r="D48" s="22">
        <f t="shared" si="2"/>
        <v>0.21999999999999997</v>
      </c>
      <c r="E48" s="16">
        <f t="shared" si="5"/>
        <v>3.6600000000000001E-2</v>
      </c>
      <c r="F48" s="17">
        <f t="shared" si="6"/>
        <v>5.6025708384633569E-2</v>
      </c>
      <c r="S48" s="4">
        <f t="shared" si="3"/>
        <v>5.6025708384633569E-2</v>
      </c>
      <c r="T48" s="1">
        <f t="shared" si="4"/>
        <v>0.78</v>
      </c>
    </row>
    <row r="49" spans="3:20" ht="0.75" customHeight="1" x14ac:dyDescent="0.25">
      <c r="C49" s="10">
        <v>0.8</v>
      </c>
      <c r="D49" s="22">
        <f t="shared" si="2"/>
        <v>0.19999999999999996</v>
      </c>
      <c r="E49" s="16">
        <f t="shared" si="5"/>
        <v>3.5999999999999997E-2</v>
      </c>
      <c r="F49" s="17">
        <f t="shared" si="6"/>
        <v>5.5569775957799217E-2</v>
      </c>
      <c r="S49" s="4">
        <f t="shared" si="3"/>
        <v>5.5569775957799217E-2</v>
      </c>
      <c r="T49" s="1">
        <f t="shared" si="4"/>
        <v>0.8</v>
      </c>
    </row>
    <row r="50" spans="3:20" ht="0.75" customHeight="1" x14ac:dyDescent="0.25">
      <c r="C50" s="10">
        <v>0.82</v>
      </c>
      <c r="D50" s="22">
        <f t="shared" si="2"/>
        <v>0.18000000000000005</v>
      </c>
      <c r="E50" s="16">
        <f t="shared" si="5"/>
        <v>3.5400000000000001E-2</v>
      </c>
      <c r="F50" s="17">
        <f t="shared" si="6"/>
        <v>5.5278205470148903E-2</v>
      </c>
      <c r="S50" s="4">
        <f t="shared" si="3"/>
        <v>5.5278205470148903E-2</v>
      </c>
      <c r="T50" s="1">
        <f t="shared" si="4"/>
        <v>0.82</v>
      </c>
    </row>
    <row r="51" spans="3:20" ht="0.75" customHeight="1" x14ac:dyDescent="0.25">
      <c r="C51" s="10">
        <v>0.84</v>
      </c>
      <c r="D51" s="22">
        <f t="shared" si="2"/>
        <v>0.16000000000000003</v>
      </c>
      <c r="E51" s="16">
        <f t="shared" si="5"/>
        <v>3.4799999999999998E-2</v>
      </c>
      <c r="F51" s="17">
        <f t="shared" si="6"/>
        <v>5.515360369005818E-2</v>
      </c>
      <c r="S51" s="4">
        <f t="shared" si="3"/>
        <v>5.515360369005818E-2</v>
      </c>
      <c r="T51" s="1">
        <f t="shared" si="4"/>
        <v>0.84</v>
      </c>
    </row>
    <row r="52" spans="3:20" ht="0.75" customHeight="1" x14ac:dyDescent="0.25">
      <c r="C52" s="10">
        <v>0.86</v>
      </c>
      <c r="D52" s="22">
        <f t="shared" si="2"/>
        <v>0.14000000000000001</v>
      </c>
      <c r="E52" s="16">
        <f t="shared" si="5"/>
        <v>3.4200000000000001E-2</v>
      </c>
      <c r="F52" s="17">
        <f t="shared" si="6"/>
        <v>5.5197101373169945E-2</v>
      </c>
      <c r="S52" s="4">
        <f t="shared" si="3"/>
        <v>5.5197101373169945E-2</v>
      </c>
      <c r="T52" s="1">
        <f t="shared" si="4"/>
        <v>0.86</v>
      </c>
    </row>
    <row r="53" spans="3:20" ht="0.75" customHeight="1" x14ac:dyDescent="0.25">
      <c r="C53" s="10">
        <v>0.88</v>
      </c>
      <c r="D53" s="22">
        <f t="shared" si="2"/>
        <v>0.12</v>
      </c>
      <c r="E53" s="16">
        <f t="shared" si="5"/>
        <v>3.3599999999999998E-2</v>
      </c>
      <c r="F53" s="17">
        <f t="shared" si="6"/>
        <v>5.5408302626952941E-2</v>
      </c>
      <c r="S53" s="4">
        <f t="shared" si="3"/>
        <v>5.5408302626952941E-2</v>
      </c>
      <c r="T53" s="1">
        <f t="shared" si="4"/>
        <v>0.88</v>
      </c>
    </row>
    <row r="54" spans="3:20" ht="0.75" customHeight="1" x14ac:dyDescent="0.25">
      <c r="C54" s="10">
        <v>0.9</v>
      </c>
      <c r="D54" s="22">
        <f t="shared" si="2"/>
        <v>9.9999999999999978E-2</v>
      </c>
      <c r="E54" s="16">
        <f t="shared" si="5"/>
        <v>3.3000000000000002E-2</v>
      </c>
      <c r="F54" s="17">
        <f t="shared" si="6"/>
        <v>5.5785302723925415E-2</v>
      </c>
      <c r="S54" s="4">
        <f t="shared" si="3"/>
        <v>5.5785302723925415E-2</v>
      </c>
      <c r="T54" s="1">
        <f t="shared" si="4"/>
        <v>0.9</v>
      </c>
    </row>
    <row r="55" spans="3:20" ht="0.75" customHeight="1" x14ac:dyDescent="0.25">
      <c r="C55" s="10">
        <v>0.92</v>
      </c>
      <c r="D55" s="22">
        <f t="shared" si="2"/>
        <v>7.999999999999996E-2</v>
      </c>
      <c r="E55" s="16">
        <f t="shared" si="5"/>
        <v>3.2399999999999998E-2</v>
      </c>
      <c r="F55" s="17">
        <f t="shared" si="6"/>
        <v>5.6324772525062183E-2</v>
      </c>
      <c r="S55" s="4">
        <f t="shared" si="3"/>
        <v>5.6324772525062183E-2</v>
      </c>
      <c r="T55" s="1">
        <f t="shared" si="4"/>
        <v>0.92</v>
      </c>
    </row>
    <row r="56" spans="3:20" ht="0.75" customHeight="1" x14ac:dyDescent="0.25">
      <c r="C56" s="10">
        <v>0.94</v>
      </c>
      <c r="D56" s="22">
        <f t="shared" si="2"/>
        <v>6.0000000000000053E-2</v>
      </c>
      <c r="E56" s="16">
        <f t="shared" si="5"/>
        <v>3.1800000000000002E-2</v>
      </c>
      <c r="F56" s="17">
        <f t="shared" si="6"/>
        <v>5.7022100978480261E-2</v>
      </c>
      <c r="S56" s="4">
        <f t="shared" si="3"/>
        <v>5.7022100978480261E-2</v>
      </c>
      <c r="T56" s="1">
        <f t="shared" si="4"/>
        <v>0.94</v>
      </c>
    </row>
    <row r="57" spans="3:20" ht="0.75" customHeight="1" x14ac:dyDescent="0.25">
      <c r="C57" s="10">
        <v>0.96</v>
      </c>
      <c r="D57" s="22">
        <f t="shared" si="2"/>
        <v>4.0000000000000036E-2</v>
      </c>
      <c r="E57" s="16">
        <f t="shared" si="5"/>
        <v>3.1200000000000002E-2</v>
      </c>
      <c r="F57" s="17">
        <f t="shared" si="6"/>
        <v>5.7871581972501841E-2</v>
      </c>
      <c r="S57" s="4">
        <f t="shared" si="3"/>
        <v>5.7871581972501841E-2</v>
      </c>
      <c r="T57" s="1">
        <f t="shared" si="4"/>
        <v>0.96</v>
      </c>
    </row>
    <row r="58" spans="3:20" ht="15.75" customHeight="1" x14ac:dyDescent="0.25">
      <c r="C58" s="10">
        <v>0.98</v>
      </c>
      <c r="D58" s="22">
        <f t="shared" si="2"/>
        <v>2.0000000000000018E-2</v>
      </c>
      <c r="E58" s="16">
        <f t="shared" si="5"/>
        <v>3.0599999999999999E-2</v>
      </c>
      <c r="F58" s="17">
        <f t="shared" si="6"/>
        <v>5.8866628916560179E-2</v>
      </c>
      <c r="S58" s="4">
        <f t="shared" si="3"/>
        <v>5.8866628916560179E-2</v>
      </c>
      <c r="T58" s="1">
        <f t="shared" si="4"/>
        <v>0.98</v>
      </c>
    </row>
    <row r="59" spans="3:20" x14ac:dyDescent="0.25">
      <c r="C59" s="18">
        <v>1</v>
      </c>
      <c r="D59" s="23">
        <f t="shared" si="2"/>
        <v>0</v>
      </c>
      <c r="E59" s="19">
        <f t="shared" si="5"/>
        <v>0.03</v>
      </c>
      <c r="F59" s="20">
        <f t="shared" si="6"/>
        <v>0.06</v>
      </c>
      <c r="S59" s="4">
        <f>F59</f>
        <v>0.06</v>
      </c>
      <c r="T59" s="1">
        <f t="shared" si="4"/>
        <v>1</v>
      </c>
    </row>
    <row r="60" spans="3:20" ht="10.5" customHeight="1" x14ac:dyDescent="0.25">
      <c r="C60" s="22"/>
      <c r="D60" s="22"/>
      <c r="E60" s="16"/>
      <c r="F60" s="24"/>
      <c r="S60" s="4"/>
      <c r="T60" s="1"/>
    </row>
    <row r="61" spans="3:20" x14ac:dyDescent="0.25">
      <c r="C61" s="1"/>
      <c r="E61" s="25"/>
      <c r="F61" s="26"/>
      <c r="G61" s="27" t="s">
        <v>11</v>
      </c>
      <c r="H61" s="27" t="s">
        <v>12</v>
      </c>
      <c r="I61" s="28"/>
    </row>
    <row r="62" spans="3:20" x14ac:dyDescent="0.25">
      <c r="C62" s="1"/>
      <c r="E62" s="29" t="s">
        <v>10</v>
      </c>
      <c r="F62" s="19">
        <f>MIN(F9:F59)</f>
        <v>5.515360369005818E-2</v>
      </c>
      <c r="G62" s="19">
        <f>VLOOKUP(F62,S9:T59,2,0)</f>
        <v>0.84</v>
      </c>
      <c r="H62" s="37">
        <f>(F62-V_A)*10000</f>
        <v>-48.46396309941818</v>
      </c>
      <c r="I62" s="13"/>
    </row>
    <row r="63" spans="3:20" x14ac:dyDescent="0.25">
      <c r="F63" s="4"/>
    </row>
  </sheetData>
  <mergeCells count="1">
    <mergeCell ref="C7:D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72"/>
  <sheetViews>
    <sheetView tabSelected="1" workbookViewId="0">
      <selection activeCell="H17" sqref="H17"/>
    </sheetView>
  </sheetViews>
  <sheetFormatPr defaultColWidth="11.42578125" defaultRowHeight="15" x14ac:dyDescent="0.25"/>
  <cols>
    <col min="4" max="4" width="14.28515625" customWidth="1"/>
    <col min="5" max="5" width="12.5703125" customWidth="1"/>
    <col min="6" max="6" width="14.140625" customWidth="1"/>
    <col min="7" max="7" width="11.85546875" customWidth="1"/>
    <col min="10" max="10" width="14" customWidth="1"/>
  </cols>
  <sheetData>
    <row r="2" spans="3:5" x14ac:dyDescent="0.25">
      <c r="C2" s="25" t="s">
        <v>13</v>
      </c>
      <c r="D2" s="45">
        <v>0.04</v>
      </c>
    </row>
    <row r="3" spans="3:5" x14ac:dyDescent="0.25">
      <c r="C3" s="31" t="s">
        <v>14</v>
      </c>
      <c r="D3" s="46">
        <v>5</v>
      </c>
    </row>
    <row r="4" spans="3:5" x14ac:dyDescent="0.25">
      <c r="C4" s="12" t="s">
        <v>16</v>
      </c>
      <c r="D4" s="47">
        <v>1.02</v>
      </c>
    </row>
    <row r="5" spans="3:5" x14ac:dyDescent="0.25">
      <c r="C5" s="33" t="s">
        <v>27</v>
      </c>
      <c r="D5">
        <v>100</v>
      </c>
    </row>
    <row r="8" spans="3:5" x14ac:dyDescent="0.25">
      <c r="C8" s="32" t="s">
        <v>23</v>
      </c>
    </row>
    <row r="10" spans="3:5" x14ac:dyDescent="0.25">
      <c r="C10" s="109" t="s">
        <v>15</v>
      </c>
      <c r="D10" s="110"/>
      <c r="E10" s="111"/>
    </row>
    <row r="11" spans="3:5" x14ac:dyDescent="0.25">
      <c r="C11" s="12" t="s">
        <v>18</v>
      </c>
      <c r="D11" s="30" t="s">
        <v>19</v>
      </c>
      <c r="E11" s="13" t="s">
        <v>20</v>
      </c>
    </row>
    <row r="12" spans="3:5" x14ac:dyDescent="0.25">
      <c r="C12" s="48">
        <v>1</v>
      </c>
      <c r="D12" s="49">
        <v>1.0999999999999999E-2</v>
      </c>
      <c r="E12" s="57">
        <f>1/(1+D12)^C12</f>
        <v>0.98911968348170143</v>
      </c>
    </row>
    <row r="13" spans="3:5" x14ac:dyDescent="0.25">
      <c r="C13" s="50">
        <v>2</v>
      </c>
      <c r="D13" s="51">
        <v>1.6E-2</v>
      </c>
      <c r="E13" s="58">
        <f t="shared" ref="E13:E16" si="0">1/(1+D13)^C13</f>
        <v>0.968751937503875</v>
      </c>
    </row>
    <row r="14" spans="3:5" x14ac:dyDescent="0.25">
      <c r="C14" s="50">
        <v>3</v>
      </c>
      <c r="D14" s="51">
        <v>2.1000000000000001E-2</v>
      </c>
      <c r="E14" s="58">
        <f t="shared" si="0"/>
        <v>0.93955622378715087</v>
      </c>
    </row>
    <row r="15" spans="3:5" x14ac:dyDescent="0.25">
      <c r="C15" s="50">
        <v>4</v>
      </c>
      <c r="D15" s="51">
        <v>2.7E-2</v>
      </c>
      <c r="E15" s="58">
        <f t="shared" si="0"/>
        <v>0.89891416822926717</v>
      </c>
    </row>
    <row r="16" spans="3:5" x14ac:dyDescent="0.25">
      <c r="C16" s="52">
        <v>5</v>
      </c>
      <c r="D16" s="53">
        <v>3.5000000000000003E-2</v>
      </c>
      <c r="E16" s="59">
        <f t="shared" si="0"/>
        <v>0.84197316685852419</v>
      </c>
    </row>
    <row r="18" spans="3:6" x14ac:dyDescent="0.25">
      <c r="C18" t="s">
        <v>21</v>
      </c>
      <c r="E18" s="60">
        <f>coupon*Nominal*SUM(E12:E16)+Nominal*E16</f>
        <v>102.75057740529448</v>
      </c>
    </row>
    <row r="20" spans="3:6" x14ac:dyDescent="0.25">
      <c r="C20" s="109" t="s">
        <v>47</v>
      </c>
      <c r="D20" s="110"/>
      <c r="E20" s="111"/>
    </row>
    <row r="21" spans="3:6" x14ac:dyDescent="0.25">
      <c r="C21" s="12" t="s">
        <v>18</v>
      </c>
      <c r="D21" s="30" t="s">
        <v>50</v>
      </c>
      <c r="E21" s="13" t="s">
        <v>20</v>
      </c>
    </row>
    <row r="22" spans="3:6" x14ac:dyDescent="0.25">
      <c r="C22" s="25">
        <v>1</v>
      </c>
      <c r="D22" s="61">
        <f>$D12+$D$28</f>
        <v>1.2640540446336609E-2</v>
      </c>
      <c r="E22" s="57">
        <f>1/(1+D22)^C22</f>
        <v>0.98751724828164089</v>
      </c>
    </row>
    <row r="23" spans="3:6" x14ac:dyDescent="0.25">
      <c r="C23" s="31">
        <v>2</v>
      </c>
      <c r="D23" s="62">
        <f>$D13+$D$28</f>
        <v>1.764054044633661E-2</v>
      </c>
      <c r="E23" s="58">
        <f t="shared" ref="E23:E26" si="1">1/(1+D23)^C23</f>
        <v>0.96563100111297895</v>
      </c>
    </row>
    <row r="24" spans="3:6" x14ac:dyDescent="0.25">
      <c r="C24" s="31">
        <v>3</v>
      </c>
      <c r="D24" s="62">
        <f>$D14+$D$28</f>
        <v>2.2640540446336611E-2</v>
      </c>
      <c r="E24" s="58">
        <f t="shared" si="1"/>
        <v>0.93504170905163153</v>
      </c>
    </row>
    <row r="25" spans="3:6" x14ac:dyDescent="0.25">
      <c r="C25" s="31">
        <v>4</v>
      </c>
      <c r="D25" s="62">
        <f>$D15+$D$28</f>
        <v>2.8640540446336609E-2</v>
      </c>
      <c r="E25" s="58">
        <f t="shared" si="1"/>
        <v>0.89319329367957201</v>
      </c>
    </row>
    <row r="26" spans="3:6" x14ac:dyDescent="0.25">
      <c r="C26" s="12">
        <v>5</v>
      </c>
      <c r="D26" s="63">
        <f>$D16+$D$28</f>
        <v>3.6640540446336613E-2</v>
      </c>
      <c r="E26" s="59">
        <f t="shared" si="1"/>
        <v>0.83533187724498092</v>
      </c>
    </row>
    <row r="28" spans="3:6" x14ac:dyDescent="0.25">
      <c r="C28" t="s">
        <v>17</v>
      </c>
      <c r="D28" s="64">
        <v>1.6405404463366096E-3</v>
      </c>
      <c r="E28" s="65">
        <f>coupon*Nominal*SUM(E22:E26)+Nominal*E26</f>
        <v>102.0000482419813</v>
      </c>
    </row>
    <row r="29" spans="3:6" x14ac:dyDescent="0.25">
      <c r="C29" t="s">
        <v>22</v>
      </c>
    </row>
    <row r="32" spans="3:6" x14ac:dyDescent="0.25">
      <c r="C32" s="32" t="s">
        <v>24</v>
      </c>
      <c r="E32" s="34" t="s">
        <v>31</v>
      </c>
      <c r="F32" s="66">
        <v>1E-4</v>
      </c>
    </row>
    <row r="34" spans="3:11" x14ac:dyDescent="0.25">
      <c r="C34" s="109" t="s">
        <v>29</v>
      </c>
      <c r="D34" s="110"/>
      <c r="E34" s="111"/>
      <c r="F34" s="106" t="s">
        <v>32</v>
      </c>
      <c r="H34" s="109" t="s">
        <v>30</v>
      </c>
      <c r="I34" s="110"/>
      <c r="J34" s="111"/>
      <c r="K34" s="106" t="s">
        <v>33</v>
      </c>
    </row>
    <row r="35" spans="3:11" x14ac:dyDescent="0.25">
      <c r="C35" s="12" t="s">
        <v>18</v>
      </c>
      <c r="D35" s="30" t="s">
        <v>25</v>
      </c>
      <c r="E35" s="13" t="s">
        <v>48</v>
      </c>
      <c r="F35" s="107"/>
      <c r="H35" s="12" t="s">
        <v>18</v>
      </c>
      <c r="I35" s="30" t="s">
        <v>49</v>
      </c>
      <c r="J35" s="13" t="s">
        <v>53</v>
      </c>
      <c r="K35" s="107"/>
    </row>
    <row r="36" spans="3:11" x14ac:dyDescent="0.25">
      <c r="C36" s="25">
        <v>1</v>
      </c>
      <c r="D36" s="14">
        <f>$D12+$D$28-F32</f>
        <v>1.2540540446336609E-2</v>
      </c>
      <c r="E36" s="54">
        <f>1/(1+D36)^C36</f>
        <v>0.98761477694432998</v>
      </c>
      <c r="F36" s="67">
        <f>coupon*Nominal*($E36 + SUM($E$22:$E$26) - $E22) +Nominal*$E$26</f>
        <v>102.00043835663206</v>
      </c>
      <c r="H36" s="25">
        <v>1</v>
      </c>
      <c r="I36" s="14">
        <f>$D12+$D$28+F32</f>
        <v>1.2740540446336608E-2</v>
      </c>
      <c r="J36" s="54">
        <f>1/(1+I36)^H36</f>
        <v>0.98741973887929724</v>
      </c>
      <c r="K36" s="67">
        <f>coupon*Nominal*($J36 + SUM($E$22:$E$26) - $E22) +Nominal*$E$26</f>
        <v>101.99965820437194</v>
      </c>
    </row>
    <row r="37" spans="3:11" x14ac:dyDescent="0.25">
      <c r="C37" s="31">
        <v>2</v>
      </c>
      <c r="D37" s="16">
        <f>$D13+$D$28-F32</f>
        <v>1.754054044633661E-2</v>
      </c>
      <c r="E37" s="55">
        <f t="shared" ref="E37:E40" si="2">1/(1+D37)^C37</f>
        <v>0.96582080749650712</v>
      </c>
      <c r="F37" s="68">
        <f>coupon*Nominal*($E37 + SUM($E$22:$E$26) - $E23) +Nominal*$E$26</f>
        <v>102.00080746751541</v>
      </c>
      <c r="H37" s="31">
        <v>2</v>
      </c>
      <c r="I37" s="16">
        <f>$D13+$D$28+F32</f>
        <v>1.7740540446336609E-2</v>
      </c>
      <c r="J37" s="55">
        <f t="shared" ref="J37:J40" si="3">1/(1+I37)^H37</f>
        <v>0.96544125067604558</v>
      </c>
      <c r="K37" s="68">
        <f>coupon*Nominal*($J37 + SUM($E$22:$E$26) - $E23) +Nominal*$E$26</f>
        <v>101.99928924023357</v>
      </c>
    </row>
    <row r="38" spans="3:11" x14ac:dyDescent="0.25">
      <c r="C38" s="31">
        <v>3</v>
      </c>
      <c r="D38" s="16">
        <f>$D14+$D$28-F32</f>
        <v>2.2540540446336611E-2</v>
      </c>
      <c r="E38" s="55">
        <f t="shared" si="2"/>
        <v>0.93531606486972563</v>
      </c>
      <c r="F38" s="68">
        <f>coupon*Nominal*($E38 + SUM($E$22:$E$26) - $E24) +Nominal*$E$26</f>
        <v>102.00114566525369</v>
      </c>
      <c r="H38" s="31">
        <v>3</v>
      </c>
      <c r="I38" s="16">
        <f>$D14+$D$28+F32</f>
        <v>2.274054044633661E-2</v>
      </c>
      <c r="J38" s="55">
        <f t="shared" si="3"/>
        <v>0.93476746052526272</v>
      </c>
      <c r="K38" s="68">
        <f>coupon*Nominal*($J38 + SUM($E$22:$E$26) - $E24) +Nominal*$E$26</f>
        <v>101.99895124787582</v>
      </c>
    </row>
    <row r="39" spans="3:11" x14ac:dyDescent="0.25">
      <c r="C39" s="31">
        <v>4</v>
      </c>
      <c r="D39" s="16">
        <f>$D15+$D$28-F32</f>
        <v>2.854054044633661E-2</v>
      </c>
      <c r="E39" s="55">
        <f t="shared" si="2"/>
        <v>0.89354070772044281</v>
      </c>
      <c r="F39" s="68">
        <f>coupon*Nominal*($E39 + SUM($E$22:$E$26) - $E25) +Nominal*$E$26</f>
        <v>102.00143789814479</v>
      </c>
      <c r="H39" s="31">
        <v>4</v>
      </c>
      <c r="I39" s="16">
        <f>$D15+$D$28+F32</f>
        <v>2.8740540446336608E-2</v>
      </c>
      <c r="J39" s="55">
        <f t="shared" si="3"/>
        <v>0.89284604846814541</v>
      </c>
      <c r="K39" s="68">
        <f>coupon*Nominal*($J39 + SUM($E$22:$E$26) - $E25) +Nominal*$E$26</f>
        <v>101.9986592611356</v>
      </c>
    </row>
    <row r="40" spans="3:11" x14ac:dyDescent="0.25">
      <c r="C40" s="12">
        <v>5</v>
      </c>
      <c r="D40" s="19">
        <f>$D16+$D$28-F32</f>
        <v>3.654054044633661E-2</v>
      </c>
      <c r="E40" s="56">
        <f t="shared" si="2"/>
        <v>0.83573489721240046</v>
      </c>
      <c r="F40" s="69">
        <f>coupon*Nominal*($E40 + SUM($E$22:$E$26) - $E26) +Nominal*E40</f>
        <v>102.04196231859295</v>
      </c>
      <c r="H40" s="12">
        <v>5</v>
      </c>
      <c r="I40" s="19">
        <f>$D16+$D$28+F32</f>
        <v>3.6740540446336616E-2</v>
      </c>
      <c r="J40" s="56">
        <f t="shared" si="3"/>
        <v>0.83492909047509345</v>
      </c>
      <c r="K40" s="69">
        <f>coupon*Nominal*($J40 + SUM($E$22:$E$26) - $E26) +Nominal*J40</f>
        <v>101.95815841791301</v>
      </c>
    </row>
    <row r="42" spans="3:11" x14ac:dyDescent="0.25">
      <c r="C42" s="2" t="s">
        <v>26</v>
      </c>
    </row>
    <row r="43" spans="3:11" x14ac:dyDescent="0.25">
      <c r="C43" s="35" t="s">
        <v>18</v>
      </c>
      <c r="D43" s="36" t="s">
        <v>28</v>
      </c>
    </row>
    <row r="44" spans="3:11" x14ac:dyDescent="0.25">
      <c r="C44" s="25">
        <v>1</v>
      </c>
      <c r="D44" s="70">
        <f>(F36-K36)/(2*$E$28*F32)</f>
        <v>3.8242739761702997E-2</v>
      </c>
    </row>
    <row r="45" spans="3:11" x14ac:dyDescent="0.25">
      <c r="C45" s="31">
        <v>2</v>
      </c>
      <c r="D45" s="71">
        <f>(F37-K37)/(2*$E$28*F32)</f>
        <v>7.4422870773916724E-2</v>
      </c>
    </row>
    <row r="46" spans="3:11" x14ac:dyDescent="0.25">
      <c r="C46" s="31">
        <v>3</v>
      </c>
      <c r="D46" s="71">
        <f>(F38-K38)/(2*$E$28*F32)</f>
        <v>0.10756942843100464</v>
      </c>
    </row>
    <row r="47" spans="3:11" x14ac:dyDescent="0.25">
      <c r="C47" s="31">
        <v>4</v>
      </c>
      <c r="D47" s="71">
        <f>(F39-K39)/(2*$E$28*F32)</f>
        <v>0.13620763210788261</v>
      </c>
    </row>
    <row r="48" spans="3:11" x14ac:dyDescent="0.25">
      <c r="C48" s="12">
        <v>5</v>
      </c>
      <c r="D48" s="72">
        <f>(F40-K40)/(2*$E$28*F32)</f>
        <v>4.108032404118366</v>
      </c>
    </row>
    <row r="50" spans="3:7" x14ac:dyDescent="0.25">
      <c r="E50" s="108" t="s">
        <v>34</v>
      </c>
      <c r="F50" s="108"/>
    </row>
    <row r="51" spans="3:7" x14ac:dyDescent="0.25">
      <c r="E51" s="25" t="s">
        <v>35</v>
      </c>
      <c r="F51" s="70">
        <f>(F36-K36)/(2*$E$28*F32)</f>
        <v>3.8242739761702997E-2</v>
      </c>
    </row>
    <row r="52" spans="3:7" x14ac:dyDescent="0.25">
      <c r="E52" s="31" t="s">
        <v>36</v>
      </c>
      <c r="F52" s="71">
        <f>(F37-K37)/(2*$E$28*F32)</f>
        <v>7.4422870773916724E-2</v>
      </c>
    </row>
    <row r="53" spans="3:7" x14ac:dyDescent="0.25">
      <c r="E53" s="31" t="s">
        <v>37</v>
      </c>
      <c r="F53" s="71">
        <f>(F38-K38)/(2*$E$28*F32)</f>
        <v>0.10756942843100464</v>
      </c>
    </row>
    <row r="54" spans="3:7" x14ac:dyDescent="0.25">
      <c r="E54" s="31" t="s">
        <v>38</v>
      </c>
      <c r="F54" s="71">
        <f>(F39-K39)/(2*$E$28*F32)</f>
        <v>0.13620763210788261</v>
      </c>
    </row>
    <row r="55" spans="3:7" x14ac:dyDescent="0.25">
      <c r="E55" s="12" t="s">
        <v>39</v>
      </c>
      <c r="F55" s="72">
        <f>(F40-K40)/(2*$E$28*F32)</f>
        <v>4.108032404118366</v>
      </c>
    </row>
    <row r="58" spans="3:7" x14ac:dyDescent="0.25">
      <c r="C58" s="2" t="s">
        <v>51</v>
      </c>
    </row>
    <row r="61" spans="3:7" x14ac:dyDescent="0.25">
      <c r="C61" s="29" t="s">
        <v>18</v>
      </c>
      <c r="D61" s="76" t="s">
        <v>55</v>
      </c>
      <c r="E61" s="2" t="s">
        <v>52</v>
      </c>
      <c r="F61" s="76" t="s">
        <v>56</v>
      </c>
      <c r="G61" s="2" t="s">
        <v>57</v>
      </c>
    </row>
    <row r="62" spans="3:7" x14ac:dyDescent="0.25">
      <c r="C62" s="25">
        <v>1</v>
      </c>
      <c r="D62" s="4">
        <f>$D12+$D$28-$F$32</f>
        <v>1.2540540446336609E-2</v>
      </c>
      <c r="E62" s="67">
        <f>1/(1+D62)^C62</f>
        <v>0.98761477694432998</v>
      </c>
      <c r="F62" s="4">
        <f>$D12+$D$28+$F$32</f>
        <v>1.2740540446336608E-2</v>
      </c>
      <c r="G62" s="67">
        <f>1/(1+F62)^C62</f>
        <v>0.98741973887929724</v>
      </c>
    </row>
    <row r="63" spans="3:7" x14ac:dyDescent="0.25">
      <c r="C63" s="31">
        <v>2</v>
      </c>
      <c r="D63" s="4">
        <f t="shared" ref="D63:D66" si="4">$D13+$D$28-$F$32</f>
        <v>1.754054044633661E-2</v>
      </c>
      <c r="E63" s="68">
        <f t="shared" ref="E63:E66" si="5">1/(1+D63)^C63</f>
        <v>0.96582080749650712</v>
      </c>
      <c r="F63" s="4">
        <f t="shared" ref="F63:F66" si="6">$D13+$D$28+$F$32</f>
        <v>1.7740540446336609E-2</v>
      </c>
      <c r="G63" s="68">
        <f t="shared" ref="G63:G66" si="7">1/(1+F63)^C63</f>
        <v>0.96544125067604558</v>
      </c>
    </row>
    <row r="64" spans="3:7" x14ac:dyDescent="0.25">
      <c r="C64" s="31">
        <v>3</v>
      </c>
      <c r="D64" s="4">
        <f t="shared" si="4"/>
        <v>2.2540540446336611E-2</v>
      </c>
      <c r="E64" s="68">
        <f t="shared" si="5"/>
        <v>0.93531606486972563</v>
      </c>
      <c r="F64" s="4">
        <f t="shared" si="6"/>
        <v>2.274054044633661E-2</v>
      </c>
      <c r="G64" s="68">
        <f t="shared" si="7"/>
        <v>0.93476746052526272</v>
      </c>
    </row>
    <row r="65" spans="3:7" x14ac:dyDescent="0.25">
      <c r="C65" s="31">
        <v>4</v>
      </c>
      <c r="D65" s="4">
        <f t="shared" si="4"/>
        <v>2.854054044633661E-2</v>
      </c>
      <c r="E65" s="68">
        <f t="shared" si="5"/>
        <v>0.89354070772044281</v>
      </c>
      <c r="F65" s="75">
        <f t="shared" si="6"/>
        <v>2.8740540446336608E-2</v>
      </c>
      <c r="G65" s="68">
        <f t="shared" si="7"/>
        <v>0.89284604846814541</v>
      </c>
    </row>
    <row r="66" spans="3:7" x14ac:dyDescent="0.25">
      <c r="C66" s="12">
        <v>5</v>
      </c>
      <c r="D66" s="44">
        <f t="shared" si="4"/>
        <v>3.654054044633661E-2</v>
      </c>
      <c r="E66" s="69">
        <f t="shared" si="5"/>
        <v>0.83573489721240046</v>
      </c>
      <c r="F66" s="74">
        <f t="shared" si="6"/>
        <v>3.6740540446336616E-2</v>
      </c>
      <c r="G66" s="69">
        <f t="shared" si="7"/>
        <v>0.83492909047509345</v>
      </c>
    </row>
    <row r="69" spans="3:7" x14ac:dyDescent="0.25">
      <c r="D69" t="s">
        <v>54</v>
      </c>
      <c r="E69" s="73">
        <f>coupon*Nominal*SUM(E62:E66)+Nominal*E66</f>
        <v>102.04559873821367</v>
      </c>
    </row>
    <row r="70" spans="3:7" x14ac:dyDescent="0.25">
      <c r="D70" t="s">
        <v>58</v>
      </c>
      <c r="E70" s="73">
        <f>coupon*Nominal*SUM(G62:G66)+Nominal*G66</f>
        <v>101.95452340360472</v>
      </c>
    </row>
    <row r="72" spans="3:7" x14ac:dyDescent="0.25">
      <c r="D72" t="s">
        <v>59</v>
      </c>
      <c r="E72" s="77">
        <f>(E69-E70)/(2*$E$28*F32)</f>
        <v>4.4644750751921762</v>
      </c>
    </row>
  </sheetData>
  <mergeCells count="7">
    <mergeCell ref="K34:K35"/>
    <mergeCell ref="E50:F50"/>
    <mergeCell ref="C10:E10"/>
    <mergeCell ref="C20:E20"/>
    <mergeCell ref="C34:E34"/>
    <mergeCell ref="H34:J34"/>
    <mergeCell ref="F34:F3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O22" sqref="O22"/>
    </sheetView>
  </sheetViews>
  <sheetFormatPr defaultColWidth="11.42578125" defaultRowHeight="15" x14ac:dyDescent="0.25"/>
  <cols>
    <col min="1" max="1" width="1.85546875" customWidth="1"/>
    <col min="3" max="3" width="21.85546875" customWidth="1"/>
    <col min="4" max="9" width="6.85546875" customWidth="1"/>
    <col min="10" max="14" width="4.140625" customWidth="1"/>
    <col min="15" max="15" width="8.28515625" customWidth="1"/>
    <col min="16" max="16" width="3.5703125" customWidth="1"/>
  </cols>
  <sheetData>
    <row r="2" spans="2:9" x14ac:dyDescent="0.25">
      <c r="B2" s="2" t="s">
        <v>43</v>
      </c>
      <c r="C2" t="s">
        <v>40</v>
      </c>
      <c r="F2" t="s">
        <v>46</v>
      </c>
    </row>
    <row r="3" spans="2:9" x14ac:dyDescent="0.25">
      <c r="C3" t="s">
        <v>41</v>
      </c>
      <c r="F3" t="s">
        <v>35</v>
      </c>
      <c r="G3" s="79">
        <f>'expositions bond'!F51</f>
        <v>3.8242739761702997E-2</v>
      </c>
    </row>
    <row r="4" spans="2:9" x14ac:dyDescent="0.25">
      <c r="B4" s="32" t="s">
        <v>66</v>
      </c>
      <c r="F4" t="s">
        <v>36</v>
      </c>
      <c r="G4" s="79">
        <f>'expositions bond'!F52</f>
        <v>7.4422870773916724E-2</v>
      </c>
    </row>
    <row r="5" spans="2:9" x14ac:dyDescent="0.25">
      <c r="C5" s="41" t="s">
        <v>42</v>
      </c>
      <c r="D5" s="38">
        <v>0.25</v>
      </c>
      <c r="F5" t="s">
        <v>37</v>
      </c>
      <c r="G5" s="79">
        <f>'expositions bond'!F53</f>
        <v>0.10756942843100464</v>
      </c>
    </row>
    <row r="6" spans="2:9" x14ac:dyDescent="0.25">
      <c r="C6" s="42" t="s">
        <v>35</v>
      </c>
      <c r="D6" s="39">
        <f>0.75*G3</f>
        <v>2.8682054821277246E-2</v>
      </c>
      <c r="F6" t="s">
        <v>38</v>
      </c>
      <c r="G6" s="79">
        <f>'expositions bond'!F54</f>
        <v>0.13620763210788261</v>
      </c>
    </row>
    <row r="7" spans="2:9" x14ac:dyDescent="0.25">
      <c r="C7" s="42" t="s">
        <v>36</v>
      </c>
      <c r="D7" s="39">
        <f t="shared" ref="D7:D10" si="0">0.75*G4</f>
        <v>5.581715308043754E-2</v>
      </c>
      <c r="F7" t="s">
        <v>39</v>
      </c>
      <c r="G7" s="79">
        <f>'expositions bond'!F55</f>
        <v>4.108032404118366</v>
      </c>
    </row>
    <row r="8" spans="2:9" x14ac:dyDescent="0.25">
      <c r="C8" s="42" t="s">
        <v>37</v>
      </c>
      <c r="D8" s="39">
        <f t="shared" si="0"/>
        <v>8.0677071323253483E-2</v>
      </c>
    </row>
    <row r="9" spans="2:9" x14ac:dyDescent="0.25">
      <c r="C9" s="42" t="s">
        <v>38</v>
      </c>
      <c r="D9" s="39">
        <f t="shared" si="0"/>
        <v>0.10215572408091196</v>
      </c>
    </row>
    <row r="10" spans="2:9" x14ac:dyDescent="0.25">
      <c r="C10" s="29" t="s">
        <v>39</v>
      </c>
      <c r="D10" s="40">
        <f t="shared" si="0"/>
        <v>3.0810243030887747</v>
      </c>
    </row>
    <row r="12" spans="2:9" x14ac:dyDescent="0.25">
      <c r="B12" s="2" t="s">
        <v>44</v>
      </c>
      <c r="C12" s="90" t="s">
        <v>60</v>
      </c>
      <c r="D12" s="43" t="s">
        <v>42</v>
      </c>
      <c r="E12" s="43" t="s">
        <v>35</v>
      </c>
      <c r="F12" s="43" t="s">
        <v>36</v>
      </c>
      <c r="G12" s="43" t="s">
        <v>37</v>
      </c>
      <c r="H12" s="43" t="s">
        <v>38</v>
      </c>
      <c r="I12" s="43" t="s">
        <v>39</v>
      </c>
    </row>
    <row r="13" spans="2:9" x14ac:dyDescent="0.25">
      <c r="C13" s="43" t="s">
        <v>42</v>
      </c>
      <c r="D13" s="80">
        <v>7.8164855448572404E-5</v>
      </c>
      <c r="E13" s="81">
        <v>3.96716935128979E-5</v>
      </c>
      <c r="F13" s="81">
        <v>8.2398913166299703E-5</v>
      </c>
      <c r="G13" s="81">
        <v>7.5708450172359202E-5</v>
      </c>
      <c r="H13" s="81">
        <v>3.3419118871902E-5</v>
      </c>
      <c r="I13" s="82">
        <v>3.7279658630229199E-5</v>
      </c>
    </row>
    <row r="14" spans="2:9" x14ac:dyDescent="0.25">
      <c r="C14" s="43" t="s">
        <v>35</v>
      </c>
      <c r="D14" s="83">
        <v>3.96716935128979E-5</v>
      </c>
      <c r="E14" s="84">
        <v>1.4156583683176999E-4</v>
      </c>
      <c r="F14" s="85">
        <v>7.9083852790900506E-5</v>
      </c>
      <c r="G14" s="85">
        <v>7.9623680161382897E-5</v>
      </c>
      <c r="H14" s="85">
        <v>1.01058449102635E-4</v>
      </c>
      <c r="I14" s="86">
        <v>6.1337790866592998E-5</v>
      </c>
    </row>
    <row r="15" spans="2:9" x14ac:dyDescent="0.25">
      <c r="C15" s="43" t="s">
        <v>36</v>
      </c>
      <c r="D15" s="83">
        <v>8.2398913166299703E-5</v>
      </c>
      <c r="E15" s="85">
        <v>7.9083852790900506E-5</v>
      </c>
      <c r="F15" s="84">
        <v>2.7900528733588499E-4</v>
      </c>
      <c r="G15" s="85">
        <v>1.20726412685791E-4</v>
      </c>
      <c r="H15" s="85">
        <v>6.4418140890579997E-5</v>
      </c>
      <c r="I15" s="86">
        <v>5.3638662650204603E-5</v>
      </c>
    </row>
    <row r="16" spans="2:9" x14ac:dyDescent="0.25">
      <c r="C16" s="43" t="s">
        <v>37</v>
      </c>
      <c r="D16" s="83">
        <v>7.5708450172359202E-5</v>
      </c>
      <c r="E16" s="85">
        <v>7.9623680161382897E-5</v>
      </c>
      <c r="F16" s="85">
        <v>1.20726412685791E-4</v>
      </c>
      <c r="G16" s="84">
        <v>1.9353139896630001E-4</v>
      </c>
      <c r="H16" s="85">
        <v>6.6875808750360504E-5</v>
      </c>
      <c r="I16" s="86">
        <v>5.7431815073861702E-5</v>
      </c>
    </row>
    <row r="17" spans="2:9" x14ac:dyDescent="0.25">
      <c r="C17" s="43" t="s">
        <v>38</v>
      </c>
      <c r="D17" s="83">
        <v>3.3419118871902E-5</v>
      </c>
      <c r="E17" s="85">
        <v>1.01058449102635E-4</v>
      </c>
      <c r="F17" s="85">
        <v>6.4418140890579997E-5</v>
      </c>
      <c r="G17" s="85">
        <v>6.6875808750360504E-5</v>
      </c>
      <c r="H17" s="84">
        <v>9.6972347505133995E-5</v>
      </c>
      <c r="I17" s="86">
        <v>5.5874734554484601E-5</v>
      </c>
    </row>
    <row r="18" spans="2:9" x14ac:dyDescent="0.25">
      <c r="C18" s="43" t="s">
        <v>39</v>
      </c>
      <c r="D18" s="87">
        <v>3.7279658630229199E-5</v>
      </c>
      <c r="E18" s="88">
        <v>6.1337790866592998E-5</v>
      </c>
      <c r="F18" s="88">
        <v>5.3638662650204603E-5</v>
      </c>
      <c r="G18" s="88">
        <v>5.7431815073861702E-5</v>
      </c>
      <c r="H18" s="88">
        <v>5.5874734554484601E-5</v>
      </c>
      <c r="I18" s="89">
        <v>8.13257187298599E-5</v>
      </c>
    </row>
    <row r="20" spans="2:9" x14ac:dyDescent="0.25">
      <c r="C20" s="100" t="s">
        <v>61</v>
      </c>
    </row>
    <row r="21" spans="2:9" x14ac:dyDescent="0.25">
      <c r="B21" t="s">
        <v>45</v>
      </c>
      <c r="C21" s="97" t="s">
        <v>63</v>
      </c>
      <c r="D21" s="102">
        <f t="array" ref="D21">SQRT(52)* SQRT(MMULT(MMULT(TRANSPOSE(expo),VCV),expo))</f>
        <v>0.22136503349695175</v>
      </c>
      <c r="E21" s="4"/>
    </row>
    <row r="22" spans="2:9" x14ac:dyDescent="0.25">
      <c r="C22" s="98" t="s">
        <v>64</v>
      </c>
      <c r="D22" s="103">
        <f t="array" ref="D22">SQRT(52)* SQRT(MMULT(MMULT(TRANSPOSE(D5),D13),D5))</f>
        <v>1.5938499935936889E-2</v>
      </c>
    </row>
    <row r="23" spans="2:9" x14ac:dyDescent="0.25">
      <c r="C23" s="99" t="s">
        <v>65</v>
      </c>
      <c r="D23" s="104">
        <f t="array" ref="D23">SQRT(52)* SQRT(MMULT(MMULT(TRANSPOSE(D6:D10),E14:I18),D6:D10))</f>
        <v>0.21299145437470557</v>
      </c>
    </row>
    <row r="24" spans="2:9" x14ac:dyDescent="0.25">
      <c r="C24" s="90"/>
    </row>
    <row r="25" spans="2:9" x14ac:dyDescent="0.25">
      <c r="B25" s="32" t="s">
        <v>67</v>
      </c>
      <c r="D25" t="s">
        <v>62</v>
      </c>
      <c r="E25" s="78">
        <f>'expositions bond'!E72</f>
        <v>4.4644750751921762</v>
      </c>
    </row>
    <row r="26" spans="2:9" x14ac:dyDescent="0.25">
      <c r="F26" t="s">
        <v>44</v>
      </c>
      <c r="G26" s="43" t="s">
        <v>42</v>
      </c>
      <c r="H26" s="43" t="s">
        <v>39</v>
      </c>
    </row>
    <row r="27" spans="2:9" x14ac:dyDescent="0.25">
      <c r="C27" s="41" t="s">
        <v>42</v>
      </c>
      <c r="D27" s="95">
        <v>0.25</v>
      </c>
      <c r="G27" s="91">
        <f>D13</f>
        <v>7.8164855448572404E-5</v>
      </c>
      <c r="H27" s="93">
        <f>I13</f>
        <v>3.7279658630229199E-5</v>
      </c>
    </row>
    <row r="28" spans="2:9" x14ac:dyDescent="0.25">
      <c r="C28" s="29" t="s">
        <v>39</v>
      </c>
      <c r="D28" s="96">
        <f>0.75*E25</f>
        <v>3.3483563063941322</v>
      </c>
      <c r="G28" s="94">
        <f>I13</f>
        <v>3.7279658630229199E-5</v>
      </c>
      <c r="H28" s="92">
        <f>I18</f>
        <v>8.13257187298599E-5</v>
      </c>
    </row>
    <row r="30" spans="2:9" x14ac:dyDescent="0.25">
      <c r="C30" s="101" t="s">
        <v>61</v>
      </c>
    </row>
    <row r="31" spans="2:9" x14ac:dyDescent="0.25">
      <c r="C31" s="97" t="s">
        <v>63</v>
      </c>
      <c r="D31" s="102">
        <f t="array" ref="D31">SQRT(52)* SQRT(MMULT(MMULT(TRANSPOSE(D27:D28),G27:H28),D27:D28))</f>
        <v>0.22563729689199236</v>
      </c>
    </row>
    <row r="32" spans="2:9" x14ac:dyDescent="0.25">
      <c r="C32" s="98" t="s">
        <v>64</v>
      </c>
      <c r="D32" s="103">
        <f t="array" ref="D32">SQRT(52)* SQRT(MMULT(MMULT(TRANSPOSE(D27),G27),D27))</f>
        <v>1.5938499935936889E-2</v>
      </c>
    </row>
    <row r="33" spans="3:4" x14ac:dyDescent="0.25">
      <c r="C33" s="99" t="s">
        <v>65</v>
      </c>
      <c r="D33" s="104">
        <f t="array" ref="D33">SQRT(52)* SQRT(MMULT(MMULT(TRANSPOSE(D28),H28),D28))</f>
        <v>0.21774454961393125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Frontiere Efficiente</vt:lpstr>
      <vt:lpstr>expositions bond</vt:lpstr>
      <vt:lpstr>calcul de risque</vt:lpstr>
      <vt:lpstr>COR</vt:lpstr>
      <vt:lpstr>coupon</vt:lpstr>
      <vt:lpstr>expo</vt:lpstr>
      <vt:lpstr>Nominal</vt:lpstr>
      <vt:lpstr>prix_oblig</vt:lpstr>
      <vt:lpstr>R_A</vt:lpstr>
      <vt:lpstr>R_B</vt:lpstr>
      <vt:lpstr>V_A</vt:lpstr>
      <vt:lpstr>V_B</vt:lpstr>
      <vt:lpstr>VCV</vt:lpstr>
    </vt:vector>
  </TitlesOfParts>
  <Company>AMUNDI-ITS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gouzilh</dc:creator>
  <cp:lastModifiedBy>@LG</cp:lastModifiedBy>
  <dcterms:created xsi:type="dcterms:W3CDTF">2014-11-17T09:58:23Z</dcterms:created>
  <dcterms:modified xsi:type="dcterms:W3CDTF">2019-10-03T13:14:17Z</dcterms:modified>
</cp:coreProperties>
</file>