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Finance_F_Ciosi\"/>
    </mc:Choice>
  </mc:AlternateContent>
  <xr:revisionPtr revIDLastSave="0" documentId="8_{FE0BC762-7AB7-4BE3-A2F1-39B37A8D789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mport" sheetId="6" r:id="rId1"/>
    <sheet name="Stratégies comparées" sheetId="7" r:id="rId2"/>
    <sheet name="FWDFWD" sheetId="2" r:id="rId3"/>
    <sheet name="FRA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I11" i="2"/>
  <c r="I14" i="2"/>
  <c r="I13" i="2"/>
  <c r="I12" i="2"/>
  <c r="E14" i="6"/>
  <c r="L4" i="6"/>
  <c r="K4" i="6"/>
  <c r="G2" i="6"/>
  <c r="C34" i="5"/>
  <c r="B34" i="5"/>
  <c r="B29" i="5"/>
  <c r="C29" i="5"/>
  <c r="D27" i="5"/>
  <c r="E27" i="5"/>
  <c r="B4" i="5"/>
  <c r="B23" i="5"/>
  <c r="B1" i="2"/>
  <c r="C21" i="5" s="1"/>
  <c r="A16" i="5"/>
  <c r="I2" i="5" s="1"/>
  <c r="A13" i="5"/>
  <c r="G2" i="5" s="1"/>
  <c r="J25" i="2"/>
  <c r="I19" i="2"/>
  <c r="G19" i="2"/>
  <c r="I2" i="2"/>
  <c r="B5" i="2" s="1"/>
  <c r="B22" i="2" s="1"/>
  <c r="G2" i="2"/>
  <c r="B7" i="2" s="1"/>
  <c r="B24" i="2" s="1"/>
  <c r="A2" i="2"/>
  <c r="A2" i="5" s="1"/>
  <c r="B2" i="5" s="1"/>
  <c r="A21" i="5" s="1"/>
  <c r="B5" i="5" s="1"/>
  <c r="A1" i="2"/>
  <c r="I12" i="7"/>
  <c r="A15" i="2" l="1"/>
  <c r="E19" i="5"/>
  <c r="A19" i="5" s="1"/>
  <c r="C14" i="2"/>
  <c r="C18" i="5" s="1"/>
  <c r="C20" i="5" s="1"/>
  <c r="C11" i="2"/>
  <c r="C15" i="5" s="1"/>
  <c r="B20" i="5" s="1"/>
  <c r="B11" i="2"/>
  <c r="B15" i="5" s="1"/>
  <c r="B4" i="2"/>
  <c r="F17" i="2"/>
  <c r="C22" i="6"/>
  <c r="F22" i="6"/>
  <c r="E22" i="6"/>
  <c r="G18" i="6"/>
  <c r="C15" i="2" l="1"/>
  <c r="C16" i="2" s="1"/>
  <c r="A4" i="2"/>
  <c r="E12" i="6"/>
  <c r="C13" i="7"/>
  <c r="G13" i="7" s="1"/>
  <c r="B13" i="7"/>
  <c r="C4" i="7"/>
  <c r="G4" i="7" s="1"/>
  <c r="B4" i="7"/>
  <c r="H1" i="7"/>
  <c r="D17" i="7"/>
  <c r="D8" i="7"/>
  <c r="G1" i="7"/>
  <c r="H13" i="7" l="1"/>
  <c r="H4" i="7"/>
  <c r="B13" i="2" l="1"/>
  <c r="L14" i="6"/>
  <c r="J16" i="6" s="1"/>
  <c r="C8" i="7" s="1"/>
  <c r="G14" i="6"/>
  <c r="K2" i="6"/>
  <c r="A5" i="6"/>
  <c r="F5" i="6" s="1"/>
  <c r="F3" i="6" s="1"/>
  <c r="D5" i="6"/>
  <c r="K1" i="6"/>
  <c r="G1" i="6"/>
  <c r="D3" i="6"/>
  <c r="E6" i="6"/>
  <c r="C17" i="5"/>
  <c r="I9" i="5" s="1"/>
  <c r="C14" i="5"/>
  <c r="G9" i="5" s="1"/>
  <c r="B14" i="5"/>
  <c r="I21" i="2"/>
  <c r="D21" i="2"/>
  <c r="J8" i="6"/>
  <c r="K8" i="6" s="1"/>
  <c r="D8" i="6"/>
  <c r="L13" i="6"/>
  <c r="G13" i="6"/>
  <c r="J9" i="6"/>
  <c r="K9" i="6" s="1"/>
  <c r="E8" i="6"/>
  <c r="C8" i="6"/>
  <c r="H6" i="6"/>
  <c r="D6" i="6"/>
  <c r="E5" i="6"/>
  <c r="E3" i="6"/>
  <c r="H2" i="6"/>
  <c r="H5" i="6" s="1"/>
  <c r="I10" i="5"/>
  <c r="H8" i="5"/>
  <c r="I6" i="5"/>
  <c r="G6" i="5"/>
  <c r="D6" i="5"/>
  <c r="D6" i="2"/>
  <c r="K21" i="2"/>
  <c r="J21" i="2"/>
  <c r="D23" i="2"/>
  <c r="I6" i="2"/>
  <c r="I23" i="2" s="1"/>
  <c r="G6" i="2"/>
  <c r="G23" i="2" s="1"/>
  <c r="E15" i="2"/>
  <c r="H25" i="2" s="1"/>
  <c r="E22" i="2"/>
  <c r="E24" i="2"/>
  <c r="G24" i="2"/>
  <c r="G21" i="2"/>
  <c r="E7" i="2"/>
  <c r="E5" i="2"/>
  <c r="D5" i="2"/>
  <c r="D7" i="2" s="1"/>
  <c r="I26" i="2"/>
  <c r="B15" i="2"/>
  <c r="B16" i="2" s="1"/>
  <c r="I9" i="2"/>
  <c r="G9" i="2"/>
  <c r="I4" i="2"/>
  <c r="G4" i="2"/>
  <c r="D10" i="2"/>
  <c r="D4" i="2"/>
  <c r="F11" i="6" l="1"/>
  <c r="G8" i="6"/>
  <c r="J7" i="6"/>
  <c r="B17" i="5"/>
  <c r="D17" i="5" s="1"/>
  <c r="B14" i="2"/>
  <c r="B18" i="5" s="1"/>
  <c r="G26" i="2"/>
  <c r="I25" i="2" s="1"/>
  <c r="D15" i="2"/>
  <c r="I3" i="2"/>
  <c r="H8" i="2"/>
  <c r="G4" i="5"/>
  <c r="G36" i="5" s="1"/>
  <c r="G3" i="2"/>
  <c r="G7" i="2" s="1"/>
  <c r="E11" i="6"/>
  <c r="E13" i="6" s="1"/>
  <c r="G6" i="7"/>
  <c r="H6" i="7" s="1"/>
  <c r="K4" i="7" s="1"/>
  <c r="F2" i="6"/>
  <c r="A6" i="6"/>
  <c r="L1" i="6"/>
  <c r="G20" i="6" s="1"/>
  <c r="I2" i="6"/>
  <c r="I13" i="6"/>
  <c r="I14" i="6" s="1"/>
  <c r="G34" i="5"/>
  <c r="G29" i="5"/>
  <c r="J14" i="6"/>
  <c r="M14" i="6"/>
  <c r="F13" i="6"/>
  <c r="F14" i="6" s="1"/>
  <c r="I5" i="2"/>
  <c r="I4" i="5"/>
  <c r="I36" i="5" s="1"/>
  <c r="C19" i="5"/>
  <c r="I8" i="5"/>
  <c r="I8" i="2"/>
  <c r="B19" i="5"/>
  <c r="G20" i="2"/>
  <c r="D24" i="2" s="1"/>
  <c r="D22" i="2" s="1"/>
  <c r="I22" i="2" s="1"/>
  <c r="D14" i="5"/>
  <c r="I20" i="2"/>
  <c r="D13" i="2"/>
  <c r="D4" i="5"/>
  <c r="J11" i="6" l="1"/>
  <c r="C17" i="7" s="1"/>
  <c r="N1" i="6"/>
  <c r="M1" i="6" s="1"/>
  <c r="C6" i="7"/>
  <c r="C15" i="7" s="1"/>
  <c r="F9" i="6"/>
  <c r="I34" i="5"/>
  <c r="I35" i="5" s="1"/>
  <c r="G37" i="5" s="1"/>
  <c r="D19" i="5"/>
  <c r="G27" i="5"/>
  <c r="I31" i="5"/>
  <c r="G31" i="5"/>
  <c r="J5" i="2"/>
  <c r="K5" i="2" s="1"/>
  <c r="I7" i="2" s="1"/>
  <c r="J12" i="6"/>
  <c r="G17" i="7" s="1"/>
  <c r="H17" i="7" s="1"/>
  <c r="J13" i="6"/>
  <c r="M13" i="6"/>
  <c r="M12" i="6" s="1"/>
  <c r="G15" i="7"/>
  <c r="H15" i="7" s="1"/>
  <c r="K13" i="7" s="1"/>
  <c r="G5" i="6"/>
  <c r="G3" i="6" s="1"/>
  <c r="G6" i="6" s="1"/>
  <c r="K7" i="6"/>
  <c r="L8" i="6" s="1"/>
  <c r="F6" i="6"/>
  <c r="I6" i="6"/>
  <c r="M15" i="6"/>
  <c r="I5" i="5"/>
  <c r="J15" i="6"/>
  <c r="G8" i="7" s="1"/>
  <c r="H8" i="7" s="1"/>
  <c r="K8" i="7" s="1"/>
  <c r="I29" i="5"/>
  <c r="J22" i="2"/>
  <c r="K22" i="2" s="1"/>
  <c r="I24" i="2" s="1"/>
  <c r="I28" i="2" s="1"/>
  <c r="I29" i="2" s="1"/>
  <c r="I30" i="2" s="1"/>
  <c r="I31" i="2" s="1"/>
  <c r="I3" i="5"/>
  <c r="G3" i="5"/>
  <c r="E37" i="5" l="1"/>
  <c r="K6" i="6"/>
  <c r="M4" i="6" s="1"/>
  <c r="K17" i="7"/>
  <c r="C5" i="6"/>
  <c r="C6" i="6" s="1"/>
  <c r="B8" i="6" s="1"/>
  <c r="G21" i="6"/>
  <c r="I30" i="5"/>
  <c r="L9" i="6"/>
  <c r="G32" i="5" l="1"/>
  <c r="E32" i="5" s="1"/>
</calcChain>
</file>

<file path=xl/sharedStrings.xml><?xml version="1.0" encoding="utf-8"?>
<sst xmlns="http://schemas.openxmlformats.org/spreadsheetml/2006/main" count="177" uniqueCount="96">
  <si>
    <t>USD</t>
  </si>
  <si>
    <t>Amount</t>
  </si>
  <si>
    <t>Currency</t>
  </si>
  <si>
    <t>Corporate</t>
  </si>
  <si>
    <t>Spot</t>
  </si>
  <si>
    <t>EUR/USD</t>
  </si>
  <si>
    <t>Bid</t>
  </si>
  <si>
    <t>Ask</t>
  </si>
  <si>
    <t>Depo USD</t>
  </si>
  <si>
    <t>Depo EUR</t>
  </si>
  <si>
    <t>EUR</t>
  </si>
  <si>
    <t>Outright</t>
  </si>
  <si>
    <t>Swap</t>
  </si>
  <si>
    <t>Strike</t>
  </si>
  <si>
    <t>Prime</t>
  </si>
  <si>
    <t>Breakeven</t>
  </si>
  <si>
    <t>Option</t>
  </si>
  <si>
    <t>Hypothèse</t>
  </si>
  <si>
    <t>Hedging</t>
  </si>
  <si>
    <t>Open position</t>
  </si>
  <si>
    <t>Exercice</t>
  </si>
  <si>
    <t>Abandon</t>
  </si>
  <si>
    <t>Buy</t>
  </si>
  <si>
    <t xml:space="preserve"> </t>
  </si>
  <si>
    <t>Spot Date</t>
  </si>
  <si>
    <t>Forward Date</t>
  </si>
  <si>
    <t>mois</t>
  </si>
  <si>
    <t>Hypothèse 1</t>
  </si>
  <si>
    <t>Hypothèse 2</t>
  </si>
  <si>
    <t>ITM</t>
  </si>
  <si>
    <t>OTM</t>
  </si>
  <si>
    <t>J+2</t>
  </si>
  <si>
    <t>Dates</t>
  </si>
  <si>
    <t>6M</t>
  </si>
  <si>
    <t>/</t>
  </si>
  <si>
    <t>Implicit Forward Rate</t>
  </si>
  <si>
    <t>Int</t>
  </si>
  <si>
    <t>Future Value</t>
  </si>
  <si>
    <t>FV</t>
  </si>
  <si>
    <t>PV</t>
  </si>
  <si>
    <t>Emprunt FwdFwd Cash</t>
  </si>
  <si>
    <t>FRA</t>
  </si>
  <si>
    <t>HYP 1</t>
  </si>
  <si>
    <t>HYP2</t>
  </si>
  <si>
    <t>Différentiel In Fine</t>
  </si>
  <si>
    <t>Différentiel actualisé</t>
  </si>
  <si>
    <t>Netting</t>
  </si>
  <si>
    <t>Import</t>
  </si>
  <si>
    <t>Put EUR</t>
  </si>
  <si>
    <t>Call USD</t>
  </si>
  <si>
    <t>Option Put EUR</t>
  </si>
  <si>
    <t>Strategy Call EUR Synt</t>
  </si>
  <si>
    <t>+</t>
  </si>
  <si>
    <t>-</t>
  </si>
  <si>
    <t>FX RATE</t>
  </si>
  <si>
    <t>Countervalue</t>
  </si>
  <si>
    <t>OPEN POSITION</t>
  </si>
  <si>
    <t>NO HEDGE</t>
  </si>
  <si>
    <t>BEST STRATEGY</t>
  </si>
  <si>
    <t>PROFIT</t>
  </si>
  <si>
    <t>FX FWD</t>
  </si>
  <si>
    <t>HEDGING</t>
  </si>
  <si>
    <t>WORST STRATEGY</t>
  </si>
  <si>
    <t>FX OPTION</t>
  </si>
  <si>
    <t>LOSS</t>
  </si>
  <si>
    <t>Date</t>
  </si>
  <si>
    <t>D</t>
  </si>
  <si>
    <t>Dimanche</t>
  </si>
  <si>
    <t>Lundi</t>
  </si>
  <si>
    <t>Mardi</t>
  </si>
  <si>
    <t>Mercredi</t>
  </si>
  <si>
    <t>Jeudi</t>
  </si>
  <si>
    <t>Vendredi</t>
  </si>
  <si>
    <t>Samedi</t>
  </si>
  <si>
    <t>Jours Exacts</t>
  </si>
  <si>
    <t>Prime Option</t>
  </si>
  <si>
    <t>BID</t>
  </si>
  <si>
    <t>ASK</t>
  </si>
  <si>
    <t>J+N</t>
  </si>
  <si>
    <t>Expiration</t>
  </si>
  <si>
    <t>J</t>
  </si>
  <si>
    <t>Forward</t>
  </si>
  <si>
    <t>in EUR</t>
  </si>
  <si>
    <t>P/L in EUR</t>
  </si>
  <si>
    <t>9M</t>
  </si>
  <si>
    <t>FWD/FWD</t>
  </si>
  <si>
    <t>jours calendaires</t>
  </si>
  <si>
    <t>LONG FRA</t>
  </si>
  <si>
    <t>ACHAT FRA</t>
  </si>
  <si>
    <t>Fixing Date</t>
  </si>
  <si>
    <t>FRA RATE</t>
  </si>
  <si>
    <t>Value</t>
  </si>
  <si>
    <t>HYP 2</t>
  </si>
  <si>
    <t>Flux virtuels</t>
  </si>
  <si>
    <t>Emprunt</t>
  </si>
  <si>
    <t>Prêt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</si>
</sst>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.0000\ _€_-;\-* #,##0.0000\ _€_-;_-* &quot;-&quot;??\ _€_-;_-@_-"/>
    <numFmt numFmtId="166" formatCode="0.0000"/>
    <numFmt numFmtId="167" formatCode="0.0000%"/>
    <numFmt numFmtId="168" formatCode="_-* #,##0\ _€_-;\-* #,##0\ _€_-;_-* &quot;-&quot;??\ _€_-;_-@_-"/>
    <numFmt numFmtId="169" formatCode="_-* #,##0.00000000\ _€_-;\-* #,##0.00000000\ _€_-;_-* &quot;-&quot;??\ _€_-;_-@_-"/>
    <numFmt numFmtId="170" formatCode="0.000000%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color theme="3" tint="-0.499984740745262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1" applyFont="1" applyAlignment="1"/>
    <xf numFmtId="164" fontId="3" fillId="0" borderId="0" xfId="1" applyFont="1" applyAlignment="1">
      <alignment horizontal="center"/>
    </xf>
    <xf numFmtId="10" fontId="3" fillId="0" borderId="0" xfId="0" applyNumberFormat="1" applyFont="1" applyAlignment="1">
      <alignment horizontal="center"/>
    </xf>
    <xf numFmtId="164" fontId="4" fillId="0" borderId="0" xfId="0" applyNumberFormat="1" applyFont="1"/>
    <xf numFmtId="0" fontId="4" fillId="0" borderId="0" xfId="0" applyFont="1"/>
    <xf numFmtId="164" fontId="4" fillId="0" borderId="0" xfId="1" applyFont="1"/>
    <xf numFmtId="165" fontId="4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4" fillId="2" borderId="0" xfId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/>
    <xf numFmtId="164" fontId="6" fillId="2" borderId="0" xfId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4" fontId="4" fillId="2" borderId="0" xfId="0" applyNumberFormat="1" applyFont="1" applyFill="1"/>
    <xf numFmtId="164" fontId="3" fillId="2" borderId="0" xfId="1" applyFont="1" applyFill="1" applyAlignment="1"/>
    <xf numFmtId="165" fontId="4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5" fillId="2" borderId="0" xfId="0" applyFont="1" applyFill="1"/>
    <xf numFmtId="0" fontId="5" fillId="0" borderId="0" xfId="0" applyFont="1"/>
    <xf numFmtId="166" fontId="8" fillId="2" borderId="0" xfId="0" applyNumberFormat="1" applyFont="1" applyFill="1" applyAlignment="1">
      <alignment horizontal="center"/>
    </xf>
    <xf numFmtId="168" fontId="0" fillId="0" borderId="0" xfId="1" applyNumberFormat="1" applyFont="1"/>
    <xf numFmtId="14" fontId="0" fillId="0" borderId="0" xfId="0" applyNumberFormat="1"/>
    <xf numFmtId="164" fontId="0" fillId="0" borderId="0" xfId="1" applyFont="1"/>
    <xf numFmtId="10" fontId="0" fillId="0" borderId="0" xfId="0" applyNumberFormat="1"/>
    <xf numFmtId="164" fontId="0" fillId="0" borderId="0" xfId="0" applyNumberFormat="1"/>
    <xf numFmtId="169" fontId="0" fillId="0" borderId="0" xfId="0" applyNumberFormat="1"/>
    <xf numFmtId="170" fontId="0" fillId="0" borderId="0" xfId="2" applyNumberFormat="1" applyFont="1"/>
    <xf numFmtId="0" fontId="10" fillId="3" borderId="1" xfId="0" applyFont="1" applyFill="1" applyBorder="1" applyAlignment="1">
      <alignment horizontal="center"/>
    </xf>
    <xf numFmtId="166" fontId="10" fillId="3" borderId="2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6" fontId="10" fillId="3" borderId="3" xfId="0" applyNumberFormat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167" fontId="10" fillId="3" borderId="0" xfId="2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166" fontId="10" fillId="3" borderId="0" xfId="0" applyNumberFormat="1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2" xfId="0" applyFont="1" applyFill="1" applyBorder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0" xfId="0" applyFont="1" applyFill="1" applyBorder="1"/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10" fontId="10" fillId="3" borderId="2" xfId="0" applyNumberFormat="1" applyFont="1" applyFill="1" applyBorder="1"/>
    <xf numFmtId="10" fontId="10" fillId="3" borderId="0" xfId="0" applyNumberFormat="1" applyFont="1" applyFill="1" applyBorder="1"/>
    <xf numFmtId="14" fontId="10" fillId="3" borderId="0" xfId="0" applyNumberFormat="1" applyFont="1" applyFill="1" applyBorder="1"/>
    <xf numFmtId="14" fontId="10" fillId="3" borderId="0" xfId="1" applyNumberFormat="1" applyFont="1" applyFill="1" applyBorder="1"/>
    <xf numFmtId="168" fontId="10" fillId="3" borderId="0" xfId="1" applyNumberFormat="1" applyFont="1" applyFill="1" applyBorder="1"/>
    <xf numFmtId="168" fontId="10" fillId="3" borderId="7" xfId="1" applyNumberFormat="1" applyFont="1" applyFill="1" applyBorder="1"/>
    <xf numFmtId="0" fontId="10" fillId="3" borderId="2" xfId="0" quotePrefix="1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164" fontId="5" fillId="0" borderId="0" xfId="1" applyFont="1"/>
    <xf numFmtId="164" fontId="7" fillId="0" borderId="1" xfId="0" applyNumberFormat="1" applyFont="1" applyBorder="1"/>
    <xf numFmtId="0" fontId="7" fillId="0" borderId="2" xfId="0" applyFont="1" applyBorder="1"/>
    <xf numFmtId="164" fontId="7" fillId="0" borderId="3" xfId="0" applyNumberFormat="1" applyFont="1" applyBorder="1"/>
    <xf numFmtId="0" fontId="7" fillId="0" borderId="4" xfId="0" applyFont="1" applyBorder="1"/>
    <xf numFmtId="0" fontId="7" fillId="0" borderId="0" xfId="0" applyFont="1" applyBorder="1" applyAlignment="1">
      <alignment horizontal="center"/>
    </xf>
    <xf numFmtId="168" fontId="7" fillId="0" borderId="5" xfId="1" applyNumberFormat="1" applyFont="1" applyBorder="1"/>
    <xf numFmtId="14" fontId="7" fillId="0" borderId="6" xfId="0" applyNumberFormat="1" applyFont="1" applyBorder="1"/>
    <xf numFmtId="0" fontId="7" fillId="0" borderId="7" xfId="0" applyFont="1" applyBorder="1"/>
    <xf numFmtId="14" fontId="7" fillId="0" borderId="8" xfId="0" applyNumberFormat="1" applyFont="1" applyBorder="1"/>
    <xf numFmtId="0" fontId="7" fillId="0" borderId="9" xfId="0" applyFont="1" applyBorder="1"/>
    <xf numFmtId="167" fontId="7" fillId="0" borderId="10" xfId="2" applyNumberFormat="1" applyFont="1" applyBorder="1"/>
    <xf numFmtId="10" fontId="10" fillId="3" borderId="7" xfId="0" applyNumberFormat="1" applyFont="1" applyFill="1" applyBorder="1"/>
    <xf numFmtId="168" fontId="0" fillId="0" borderId="0" xfId="0" applyNumberFormat="1"/>
    <xf numFmtId="10" fontId="10" fillId="3" borderId="5" xfId="0" applyNumberFormat="1" applyFont="1" applyFill="1" applyBorder="1"/>
    <xf numFmtId="0" fontId="0" fillId="0" borderId="0" xfId="0" applyBorder="1"/>
    <xf numFmtId="0" fontId="7" fillId="0" borderId="0" xfId="0" applyFont="1" applyBorder="1"/>
    <xf numFmtId="168" fontId="0" fillId="0" borderId="0" xfId="1" applyNumberFormat="1" applyFont="1" applyBorder="1"/>
    <xf numFmtId="14" fontId="0" fillId="0" borderId="0" xfId="0" applyNumberFormat="1" applyBorder="1"/>
    <xf numFmtId="164" fontId="0" fillId="0" borderId="0" xfId="1" applyFont="1" applyBorder="1"/>
    <xf numFmtId="10" fontId="0" fillId="0" borderId="0" xfId="0" applyNumberFormat="1" applyBorder="1"/>
    <xf numFmtId="164" fontId="0" fillId="0" borderId="0" xfId="0" applyNumberFormat="1" applyBorder="1"/>
    <xf numFmtId="164" fontId="7" fillId="0" borderId="0" xfId="0" applyNumberFormat="1" applyFont="1" applyBorder="1"/>
    <xf numFmtId="169" fontId="0" fillId="0" borderId="0" xfId="0" applyNumberFormat="1" applyBorder="1"/>
    <xf numFmtId="170" fontId="0" fillId="0" borderId="0" xfId="2" applyNumberFormat="1" applyFont="1" applyBorder="1"/>
    <xf numFmtId="167" fontId="7" fillId="0" borderId="0" xfId="2" applyNumberFormat="1" applyFont="1" applyBorder="1"/>
    <xf numFmtId="0" fontId="5" fillId="0" borderId="0" xfId="0" applyFont="1" applyBorder="1"/>
    <xf numFmtId="0" fontId="7" fillId="0" borderId="3" xfId="0" applyFont="1" applyBorder="1"/>
    <xf numFmtId="0" fontId="7" fillId="0" borderId="8" xfId="0" applyFont="1" applyBorder="1"/>
    <xf numFmtId="0" fontId="7" fillId="0" borderId="6" xfId="0" applyFont="1" applyBorder="1"/>
    <xf numFmtId="164" fontId="7" fillId="0" borderId="7" xfId="0" applyNumberFormat="1" applyFont="1" applyBorder="1" applyAlignment="1">
      <alignment horizontal="center"/>
    </xf>
    <xf numFmtId="10" fontId="7" fillId="0" borderId="1" xfId="0" applyNumberFormat="1" applyFont="1" applyBorder="1"/>
    <xf numFmtId="10" fontId="7" fillId="0" borderId="2" xfId="0" applyNumberFormat="1" applyFont="1" applyBorder="1"/>
    <xf numFmtId="14" fontId="7" fillId="0" borderId="2" xfId="0" applyNumberFormat="1" applyFont="1" applyBorder="1"/>
    <xf numFmtId="10" fontId="7" fillId="2" borderId="0" xfId="2" applyNumberFormat="1" applyFont="1" applyFill="1" applyAlignment="1">
      <alignment horizontal="center"/>
    </xf>
    <xf numFmtId="10" fontId="9" fillId="2" borderId="0" xfId="2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4" fillId="4" borderId="0" xfId="0" applyNumberFormat="1" applyFont="1" applyFill="1"/>
    <xf numFmtId="166" fontId="3" fillId="4" borderId="0" xfId="0" applyNumberFormat="1" applyFont="1" applyFill="1" applyAlignment="1">
      <alignment horizontal="center"/>
    </xf>
    <xf numFmtId="164" fontId="4" fillId="4" borderId="0" xfId="1" applyFont="1" applyFill="1"/>
    <xf numFmtId="0" fontId="0" fillId="0" borderId="0" xfId="0" quotePrefix="1"/>
    <xf numFmtId="0" fontId="12" fillId="0" borderId="0" xfId="0" applyFont="1" applyAlignment="1">
      <alignment horizontal="center"/>
    </xf>
    <xf numFmtId="164" fontId="12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166" fontId="0" fillId="0" borderId="0" xfId="0" applyNumberFormat="1"/>
    <xf numFmtId="164" fontId="12" fillId="5" borderId="0" xfId="0" applyNumberFormat="1" applyFont="1" applyFill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164" fontId="11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165" fontId="7" fillId="2" borderId="13" xfId="0" quotePrefix="1" applyNumberFormat="1" applyFont="1" applyFill="1" applyBorder="1" applyAlignment="1">
      <alignment horizontal="center"/>
    </xf>
    <xf numFmtId="165" fontId="7" fillId="2" borderId="12" xfId="1" applyNumberFormat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5" fontId="7" fillId="2" borderId="13" xfId="1" applyNumberFormat="1" applyFont="1" applyFill="1" applyBorder="1" applyAlignment="1">
      <alignment horizontal="center"/>
    </xf>
    <xf numFmtId="0" fontId="7" fillId="0" borderId="11" xfId="0" applyFont="1" applyBorder="1"/>
    <xf numFmtId="0" fontId="7" fillId="0" borderId="11" xfId="0" applyFont="1" applyBorder="1" applyAlignment="1">
      <alignment horizontal="center"/>
    </xf>
    <xf numFmtId="0" fontId="5" fillId="0" borderId="0" xfId="0" quotePrefix="1" applyFont="1"/>
    <xf numFmtId="14" fontId="10" fillId="3" borderId="7" xfId="0" applyNumberFormat="1" applyFont="1" applyFill="1" applyBorder="1"/>
    <xf numFmtId="14" fontId="10" fillId="3" borderId="7" xfId="1" applyNumberFormat="1" applyFont="1" applyFill="1" applyBorder="1" applyAlignment="1">
      <alignment horizontal="center"/>
    </xf>
    <xf numFmtId="14" fontId="10" fillId="3" borderId="0" xfId="0" applyNumberFormat="1" applyFont="1" applyFill="1" applyBorder="1" applyAlignment="1">
      <alignment horizontal="center"/>
    </xf>
    <xf numFmtId="165" fontId="10" fillId="3" borderId="0" xfId="1" applyNumberFormat="1" applyFont="1" applyFill="1" applyBorder="1" applyAlignment="1">
      <alignment horizontal="center"/>
    </xf>
    <xf numFmtId="14" fontId="10" fillId="3" borderId="5" xfId="0" applyNumberFormat="1" applyFont="1" applyFill="1" applyBorder="1" applyAlignment="1">
      <alignment horizontal="center"/>
    </xf>
    <xf numFmtId="168" fontId="10" fillId="3" borderId="5" xfId="1" applyNumberFormat="1" applyFont="1" applyFill="1" applyBorder="1" applyAlignment="1"/>
    <xf numFmtId="0" fontId="0" fillId="3" borderId="7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7" fillId="0" borderId="7" xfId="0" applyNumberFormat="1" applyFont="1" applyBorder="1"/>
    <xf numFmtId="0" fontId="10" fillId="3" borderId="8" xfId="0" applyFont="1" applyFill="1" applyBorder="1" applyAlignment="1">
      <alignment horizontal="center"/>
    </xf>
    <xf numFmtId="0" fontId="11" fillId="5" borderId="9" xfId="0" applyFont="1" applyFill="1" applyBorder="1"/>
    <xf numFmtId="166" fontId="11" fillId="5" borderId="10" xfId="0" applyNumberFormat="1" applyFont="1" applyFill="1" applyBorder="1"/>
    <xf numFmtId="168" fontId="10" fillId="3" borderId="5" xfId="1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166" fontId="7" fillId="2" borderId="1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4" fontId="10" fillId="3" borderId="0" xfId="1" applyNumberFormat="1" applyFont="1" applyFill="1" applyBorder="1" applyAlignment="1">
      <alignment horizontal="center"/>
    </xf>
    <xf numFmtId="168" fontId="10" fillId="3" borderId="0" xfId="1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4" fontId="7" fillId="0" borderId="14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10" fontId="10" fillId="3" borderId="0" xfId="0" applyNumberFormat="1" applyFont="1" applyFill="1" applyBorder="1" applyAlignment="1">
      <alignment horizontal="center"/>
    </xf>
    <xf numFmtId="10" fontId="7" fillId="0" borderId="0" xfId="0" applyNumberFormat="1" applyFont="1" applyBorder="1"/>
    <xf numFmtId="164" fontId="5" fillId="0" borderId="0" xfId="0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URS\MBFI\20192020\Exercise%20Import%20Liability%20Correction%20MBFI%202018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Forward"/>
      <sheetName val="FX Option"/>
      <sheetName val="Strategies comparison"/>
    </sheetNames>
    <sheetDataSet>
      <sheetData sheetId="0">
        <row r="1">
          <cell r="I1" t="str">
            <v>Liability</v>
          </cell>
        </row>
      </sheetData>
      <sheetData sheetId="1">
        <row r="27">
          <cell r="D27" t="str">
            <v>ABANDON</v>
          </cell>
        </row>
        <row r="30">
          <cell r="D30" t="str">
            <v>EXERCISE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topLeftCell="C1" zoomScaleNormal="100" workbookViewId="0">
      <selection activeCell="J14" sqref="J14"/>
    </sheetView>
  </sheetViews>
  <sheetFormatPr baseColWidth="10" defaultColWidth="9.1796875" defaultRowHeight="12.5" x14ac:dyDescent="0.25"/>
  <cols>
    <col min="1" max="1" width="11.453125" customWidth="1"/>
    <col min="2" max="2" width="13.81640625" bestFit="1" customWidth="1"/>
    <col min="3" max="3" width="21.81640625" customWidth="1"/>
    <col min="4" max="4" width="13" bestFit="1" customWidth="1"/>
    <col min="5" max="5" width="11.453125" customWidth="1"/>
    <col min="6" max="6" width="14.453125" bestFit="1" customWidth="1"/>
    <col min="7" max="7" width="15.453125" bestFit="1" customWidth="1"/>
    <col min="8" max="8" width="11.453125" customWidth="1"/>
    <col min="9" max="9" width="11.54296875" customWidth="1"/>
    <col min="10" max="10" width="15.453125" bestFit="1" customWidth="1"/>
    <col min="11" max="11" width="16" bestFit="1" customWidth="1"/>
    <col min="12" max="12" width="15.453125" customWidth="1"/>
    <col min="13" max="13" width="15.453125" bestFit="1" customWidth="1"/>
    <col min="14" max="256" width="11.453125" customWidth="1"/>
  </cols>
  <sheetData>
    <row r="1" spans="1:17" ht="16" x14ac:dyDescent="0.6">
      <c r="A1" s="20" t="s">
        <v>3</v>
      </c>
      <c r="B1" s="20" t="s">
        <v>1</v>
      </c>
      <c r="C1" s="21">
        <v>-15000000</v>
      </c>
      <c r="D1" s="20" t="s">
        <v>2</v>
      </c>
      <c r="E1" s="20" t="s">
        <v>0</v>
      </c>
      <c r="F1" s="23" t="s">
        <v>24</v>
      </c>
      <c r="G1" s="22">
        <f>+E21</f>
        <v>44124</v>
      </c>
      <c r="H1" s="23" t="s">
        <v>23</v>
      </c>
      <c r="I1" s="20"/>
      <c r="J1" s="23" t="s">
        <v>25</v>
      </c>
      <c r="K1" s="22">
        <f>+F21</f>
        <v>44397</v>
      </c>
      <c r="L1" s="134">
        <f>+K1-G1</f>
        <v>273</v>
      </c>
      <c r="M1" s="20" t="str">
        <f>+N1&amp;H1&amp;O1</f>
        <v>9 mois</v>
      </c>
      <c r="N1">
        <f>INT(+L1/30)</f>
        <v>9</v>
      </c>
      <c r="O1" s="42" t="s">
        <v>26</v>
      </c>
      <c r="P1">
        <v>1</v>
      </c>
      <c r="Q1" t="s">
        <v>67</v>
      </c>
    </row>
    <row r="2" spans="1:17" ht="13" x14ac:dyDescent="0.3">
      <c r="A2" s="23" t="s">
        <v>47</v>
      </c>
      <c r="B2" s="22">
        <v>43804</v>
      </c>
      <c r="C2" s="20"/>
      <c r="D2" s="24" t="s">
        <v>6</v>
      </c>
      <c r="E2" s="20" t="s">
        <v>7</v>
      </c>
      <c r="F2" s="24" t="str">
        <f>+A5&amp;H1&amp;E1</f>
        <v>Prêt USD</v>
      </c>
      <c r="G2" s="25">
        <f>-K2/(1+(I2*L1/360))</f>
        <v>-14903931.739992632</v>
      </c>
      <c r="H2" s="24" t="str">
        <f>+E1</f>
        <v>USD</v>
      </c>
      <c r="I2" s="26">
        <f>IF(A5="Emprunt",E5,D5)</f>
        <v>8.5000000000000006E-3</v>
      </c>
      <c r="J2" s="24"/>
      <c r="K2" s="27">
        <f>-C1</f>
        <v>15000000</v>
      </c>
      <c r="L2" s="24" t="s">
        <v>0</v>
      </c>
      <c r="M2" s="28"/>
      <c r="N2" s="123" t="s">
        <v>53</v>
      </c>
      <c r="O2" s="42"/>
      <c r="P2">
        <v>2</v>
      </c>
      <c r="Q2" t="s">
        <v>68</v>
      </c>
    </row>
    <row r="3" spans="1:17" ht="13" x14ac:dyDescent="0.3">
      <c r="A3" s="20"/>
      <c r="B3" s="24" t="s">
        <v>4</v>
      </c>
      <c r="C3" s="24" t="s">
        <v>5</v>
      </c>
      <c r="D3" s="117">
        <f>+B17</f>
        <v>1.1745000000000001</v>
      </c>
      <c r="E3" s="118">
        <f>+C17</f>
        <v>1.175</v>
      </c>
      <c r="F3" s="23" t="str">
        <f>IF(F5="Vente","Achat","Vente")</f>
        <v>Vente</v>
      </c>
      <c r="G3" s="29">
        <f>IF(F3="Achat",-G5/E3,-G5/D3)</f>
        <v>-12689597.054059286</v>
      </c>
      <c r="H3" s="20" t="s">
        <v>10</v>
      </c>
      <c r="I3" s="20"/>
      <c r="J3" s="20"/>
      <c r="K3" s="24" t="s">
        <v>11</v>
      </c>
      <c r="L3" s="24" t="s">
        <v>12</v>
      </c>
      <c r="M3" s="28"/>
      <c r="N3" s="123" t="s">
        <v>52</v>
      </c>
      <c r="O3" s="42"/>
      <c r="P3">
        <v>3</v>
      </c>
      <c r="Q3" t="s">
        <v>69</v>
      </c>
    </row>
    <row r="4" spans="1:17" ht="13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30">
        <f>+K2/-K6</f>
        <v>1.1811749069455661</v>
      </c>
      <c r="L4" s="30">
        <f>+K4-D3</f>
        <v>6.6749069455660504E-3</v>
      </c>
      <c r="M4" s="28" t="str">
        <f>IF(L4&gt;0,"Report","Déport")</f>
        <v>Report</v>
      </c>
      <c r="N4" s="123" t="s">
        <v>23</v>
      </c>
      <c r="O4" s="42"/>
      <c r="P4">
        <v>4</v>
      </c>
      <c r="Q4" t="s">
        <v>70</v>
      </c>
    </row>
    <row r="5" spans="1:17" ht="13" x14ac:dyDescent="0.3">
      <c r="A5" s="23" t="str">
        <f>IF(A2="Export","Emprunt","Prêt")</f>
        <v>Prêt</v>
      </c>
      <c r="B5" s="24" t="s">
        <v>8</v>
      </c>
      <c r="C5" s="24" t="str">
        <f>+M1</f>
        <v>9 mois</v>
      </c>
      <c r="D5" s="115">
        <f>+B19</f>
        <v>8.5000000000000006E-3</v>
      </c>
      <c r="E5" s="116">
        <f>+C19</f>
        <v>8.9999999999999993E-3</v>
      </c>
      <c r="F5" s="23" t="str">
        <f>IF(A5="Emprunt","Vente","Achat")</f>
        <v>Achat</v>
      </c>
      <c r="G5" s="31">
        <f>-G2</f>
        <v>14903931.739992632</v>
      </c>
      <c r="H5" s="20" t="str">
        <f>+H2</f>
        <v>USD</v>
      </c>
      <c r="I5" s="20"/>
      <c r="J5" s="20"/>
      <c r="K5" s="20"/>
      <c r="L5" s="20"/>
      <c r="M5" s="28"/>
      <c r="O5" s="42"/>
      <c r="P5">
        <v>5</v>
      </c>
      <c r="Q5" t="s">
        <v>71</v>
      </c>
    </row>
    <row r="6" spans="1:17" ht="13" x14ac:dyDescent="0.3">
      <c r="A6" s="23" t="str">
        <f>IF(A5="Emprunt","Prêt","Emprunt")</f>
        <v>Emprunt</v>
      </c>
      <c r="B6" s="24" t="s">
        <v>9</v>
      </c>
      <c r="C6" s="24" t="str">
        <f>+C5</f>
        <v>9 mois</v>
      </c>
      <c r="D6" s="116">
        <f>+B18</f>
        <v>5.0000000000000001E-4</v>
      </c>
      <c r="E6" s="115">
        <f>+C18</f>
        <v>1E-3</v>
      </c>
      <c r="F6" s="24" t="str">
        <f>+A6&amp;H1&amp;H3</f>
        <v>Emprunt EUR</v>
      </c>
      <c r="G6" s="25">
        <f>-G3</f>
        <v>12689597.054059286</v>
      </c>
      <c r="H6" s="24" t="str">
        <f>+H3</f>
        <v>EUR</v>
      </c>
      <c r="I6" s="26">
        <f>IF(A6="Prêt",D6,E6)</f>
        <v>1E-3</v>
      </c>
      <c r="J6" s="24"/>
      <c r="K6" s="25">
        <f>-G6*(1+(I6*L1/360))</f>
        <v>-12699219.998491948</v>
      </c>
      <c r="L6" s="38" t="s">
        <v>18</v>
      </c>
      <c r="M6" s="28"/>
      <c r="O6" s="42"/>
      <c r="P6">
        <v>6</v>
      </c>
      <c r="Q6" t="s">
        <v>72</v>
      </c>
    </row>
    <row r="7" spans="1:17" ht="13.5" thickBot="1" x14ac:dyDescent="0.35">
      <c r="A7" s="20"/>
      <c r="B7" s="20"/>
      <c r="C7" s="20"/>
      <c r="D7" s="20"/>
      <c r="E7" s="20"/>
      <c r="F7" s="20"/>
      <c r="G7" s="20"/>
      <c r="H7" s="20"/>
      <c r="I7" s="38" t="s">
        <v>5</v>
      </c>
      <c r="J7" s="43">
        <f>+D3+D8</f>
        <v>1.1820000000000002</v>
      </c>
      <c r="K7" s="39">
        <f>C1/J7</f>
        <v>-12690355.329949237</v>
      </c>
      <c r="L7" s="40"/>
      <c r="M7" s="41" t="s">
        <v>19</v>
      </c>
      <c r="P7">
        <v>7</v>
      </c>
      <c r="Q7" t="s">
        <v>73</v>
      </c>
    </row>
    <row r="8" spans="1:17" ht="13.5" thickBot="1" x14ac:dyDescent="0.35">
      <c r="A8" s="23" t="s">
        <v>12</v>
      </c>
      <c r="B8" s="24" t="str">
        <f>+A8&amp;H1&amp;C6</f>
        <v>Swap 9 mois</v>
      </c>
      <c r="C8" s="24" t="str">
        <f>+C3</f>
        <v>EUR/USD</v>
      </c>
      <c r="D8" s="117">
        <f>+B21</f>
        <v>7.4999999999999997E-3</v>
      </c>
      <c r="E8" s="118">
        <f>+C21</f>
        <v>8.0000000000000002E-3</v>
      </c>
      <c r="F8" s="138" t="s">
        <v>81</v>
      </c>
      <c r="G8" s="157">
        <f>+D3+D8</f>
        <v>1.1820000000000002</v>
      </c>
      <c r="H8" s="20"/>
      <c r="I8" s="38" t="s">
        <v>5</v>
      </c>
      <c r="J8" s="43">
        <f>+E19</f>
        <v>1.25</v>
      </c>
      <c r="K8" s="39">
        <f>+C1/J8</f>
        <v>-12000000</v>
      </c>
      <c r="L8" s="40">
        <f>+K8-K7</f>
        <v>690355.32994923741</v>
      </c>
      <c r="M8" s="41" t="s">
        <v>19</v>
      </c>
    </row>
    <row r="9" spans="1:17" ht="13.5" thickBot="1" x14ac:dyDescent="0.35">
      <c r="A9" s="20"/>
      <c r="B9" s="20"/>
      <c r="C9" s="20"/>
      <c r="D9" s="20"/>
      <c r="E9" s="20"/>
      <c r="F9" s="156" t="str">
        <f>+F11</f>
        <v>1,1745 + 0,0075</v>
      </c>
      <c r="G9" s="20"/>
      <c r="H9" s="20"/>
      <c r="I9" s="38" t="s">
        <v>5</v>
      </c>
      <c r="J9" s="43">
        <f>+E18</f>
        <v>1.1000000000000001</v>
      </c>
      <c r="K9" s="39">
        <f>+C1/J9</f>
        <v>-13636363.636363635</v>
      </c>
      <c r="L9" s="40">
        <f>+K9-K7</f>
        <v>-946008.30641439743</v>
      </c>
      <c r="M9" s="41" t="s">
        <v>19</v>
      </c>
    </row>
    <row r="10" spans="1:17" ht="13.5" thickBot="1" x14ac:dyDescent="0.35">
      <c r="A10" s="23" t="s">
        <v>22</v>
      </c>
      <c r="B10" s="24" t="s">
        <v>16</v>
      </c>
      <c r="C10" s="24" t="s">
        <v>48</v>
      </c>
      <c r="D10" s="24" t="s">
        <v>49</v>
      </c>
      <c r="E10" s="20"/>
      <c r="F10" s="20"/>
      <c r="G10" s="20"/>
      <c r="H10" s="20"/>
      <c r="I10" s="20"/>
      <c r="J10" s="20"/>
      <c r="K10" s="20"/>
      <c r="L10" s="20"/>
      <c r="M10" s="28"/>
    </row>
    <row r="11" spans="1:17" ht="13.5" thickBot="1" x14ac:dyDescent="0.35">
      <c r="A11" s="20"/>
      <c r="B11" s="24" t="s">
        <v>13</v>
      </c>
      <c r="C11" s="24"/>
      <c r="D11" s="32"/>
      <c r="E11" s="32">
        <f>+D3+D8</f>
        <v>1.1820000000000002</v>
      </c>
      <c r="F11" s="137" t="str">
        <f>+D3&amp;N4&amp;N3&amp;N4&amp;B21</f>
        <v>1,1745 + 0,0075</v>
      </c>
      <c r="G11" s="20"/>
      <c r="H11" s="20"/>
      <c r="I11" s="20"/>
      <c r="J11" s="138" t="str">
        <f>+E11&amp;N4&amp;N2&amp;N4&amp;F17</f>
        <v>1,182 - 0,0305</v>
      </c>
      <c r="K11" s="20"/>
      <c r="L11" s="37" t="s">
        <v>17</v>
      </c>
      <c r="M11" s="28"/>
    </row>
    <row r="12" spans="1:17" ht="16.5" thickBot="1" x14ac:dyDescent="0.65">
      <c r="A12" s="20"/>
      <c r="B12" s="24" t="s">
        <v>14</v>
      </c>
      <c r="C12" s="20"/>
      <c r="D12" s="33"/>
      <c r="E12" s="32">
        <f>-F17</f>
        <v>-3.0499999999999999E-2</v>
      </c>
      <c r="F12" s="20"/>
      <c r="G12" s="20"/>
      <c r="H12" s="20"/>
      <c r="I12" s="20"/>
      <c r="J12" s="139">
        <f>+E13</f>
        <v>1.1515000000000002</v>
      </c>
      <c r="K12" s="20"/>
      <c r="L12" s="119" t="s">
        <v>14</v>
      </c>
      <c r="M12" s="120">
        <f>+J13-M13</f>
        <v>-336131.86067168973</v>
      </c>
    </row>
    <row r="13" spans="1:17" ht="16" x14ac:dyDescent="0.6">
      <c r="A13" s="23" t="s">
        <v>20</v>
      </c>
      <c r="B13" s="24" t="s">
        <v>15</v>
      </c>
      <c r="C13" s="24" t="s">
        <v>50</v>
      </c>
      <c r="D13" s="32" t="s">
        <v>29</v>
      </c>
      <c r="E13" s="32">
        <f>+E11+E12</f>
        <v>1.1515000000000002</v>
      </c>
      <c r="F13" s="23" t="str">
        <f>+F5</f>
        <v>Achat</v>
      </c>
      <c r="G13" s="31">
        <f>-C1</f>
        <v>15000000</v>
      </c>
      <c r="H13" s="20" t="s">
        <v>0</v>
      </c>
      <c r="I13" s="24" t="str">
        <f>+F3</f>
        <v>Vente</v>
      </c>
      <c r="J13" s="25">
        <f>-G13/E13</f>
        <v>-13026487.190620927</v>
      </c>
      <c r="K13" s="24" t="s">
        <v>10</v>
      </c>
      <c r="L13" s="121">
        <f>+E18</f>
        <v>1.1000000000000001</v>
      </c>
      <c r="M13" s="122">
        <f>-G13/E11</f>
        <v>-12690355.329949237</v>
      </c>
    </row>
    <row r="14" spans="1:17" ht="16.5" thickBot="1" x14ac:dyDescent="0.65">
      <c r="A14" s="23" t="s">
        <v>21</v>
      </c>
      <c r="B14" s="24" t="s">
        <v>15</v>
      </c>
      <c r="C14" s="24" t="s">
        <v>51</v>
      </c>
      <c r="D14" s="32" t="s">
        <v>30</v>
      </c>
      <c r="E14" s="32">
        <f>+E11-E12</f>
        <v>1.2125000000000001</v>
      </c>
      <c r="F14" s="23" t="str">
        <f>+F13</f>
        <v>Achat</v>
      </c>
      <c r="G14" s="31">
        <f>-C1</f>
        <v>15000000</v>
      </c>
      <c r="H14" s="20" t="s">
        <v>0</v>
      </c>
      <c r="I14" s="24" t="str">
        <f>+I13</f>
        <v>Vente</v>
      </c>
      <c r="J14" s="35">
        <f>-G14/(L14+E12)</f>
        <v>-12300123.001230013</v>
      </c>
      <c r="K14" s="24" t="s">
        <v>10</v>
      </c>
      <c r="L14" s="121">
        <f>+E19</f>
        <v>1.25</v>
      </c>
      <c r="M14" s="122">
        <f>-G14/L14</f>
        <v>-12000000</v>
      </c>
    </row>
    <row r="15" spans="1:17" ht="16.5" thickBot="1" x14ac:dyDescent="0.65">
      <c r="A15" s="20"/>
      <c r="B15" s="20"/>
      <c r="C15" s="20"/>
      <c r="D15" s="20"/>
      <c r="E15" s="20"/>
      <c r="F15" s="20"/>
      <c r="G15" s="20"/>
      <c r="H15" s="20"/>
      <c r="I15" s="20"/>
      <c r="J15" s="136">
        <f>+G14/-J14</f>
        <v>1.2195</v>
      </c>
      <c r="K15" s="20"/>
      <c r="L15" s="119" t="s">
        <v>14</v>
      </c>
      <c r="M15" s="120">
        <f>+J14-M14</f>
        <v>-300123.00123001263</v>
      </c>
    </row>
    <row r="16" spans="1:17" ht="16.5" thickBot="1" x14ac:dyDescent="0.65">
      <c r="A16" s="51"/>
      <c r="B16" s="52" t="s">
        <v>76</v>
      </c>
      <c r="C16" s="52" t="s">
        <v>77</v>
      </c>
      <c r="D16" s="53"/>
      <c r="E16" s="52" t="s">
        <v>76</v>
      </c>
      <c r="F16" s="52" t="s">
        <v>77</v>
      </c>
      <c r="G16" s="54" t="s">
        <v>79</v>
      </c>
      <c r="H16" s="20"/>
      <c r="I16" s="20"/>
      <c r="J16" s="135" t="str">
        <f>+L14&amp;N4&amp;N2&amp;N4&amp;F17</f>
        <v>1,25 - 0,0305</v>
      </c>
      <c r="K16" s="20"/>
      <c r="L16" s="24"/>
      <c r="M16" s="34"/>
    </row>
    <row r="17" spans="1:13" ht="16" x14ac:dyDescent="0.6">
      <c r="A17" s="55" t="s">
        <v>5</v>
      </c>
      <c r="B17" s="58">
        <v>1.1745000000000001</v>
      </c>
      <c r="C17" s="58">
        <v>1.175</v>
      </c>
      <c r="D17" s="57" t="s">
        <v>75</v>
      </c>
      <c r="E17" s="58">
        <v>0.03</v>
      </c>
      <c r="F17" s="58">
        <v>3.0499999999999999E-2</v>
      </c>
      <c r="G17" s="147">
        <v>44393</v>
      </c>
      <c r="H17" s="33"/>
      <c r="I17" s="20"/>
      <c r="J17" s="36"/>
      <c r="K17" s="20"/>
      <c r="L17" s="24"/>
      <c r="M17" s="34"/>
    </row>
    <row r="18" spans="1:13" ht="16" x14ac:dyDescent="0.6">
      <c r="A18" s="55" t="s">
        <v>10</v>
      </c>
      <c r="B18" s="56">
        <v>5.0000000000000001E-4</v>
      </c>
      <c r="C18" s="56">
        <v>1E-3</v>
      </c>
      <c r="D18" s="57" t="s">
        <v>27</v>
      </c>
      <c r="E18" s="58">
        <v>1.1000000000000001</v>
      </c>
      <c r="F18" s="57"/>
      <c r="G18" s="59" t="str">
        <f>VLOOKUP(WEEKDAY(G17,1),$P$1:$Q$7,2)</f>
        <v>Vendredi</v>
      </c>
      <c r="H18" s="20"/>
      <c r="I18" s="20"/>
      <c r="J18" s="20"/>
      <c r="K18" s="20"/>
      <c r="L18" s="24"/>
      <c r="M18" s="34"/>
    </row>
    <row r="19" spans="1:13" ht="13" x14ac:dyDescent="0.3">
      <c r="A19" s="55" t="s">
        <v>0</v>
      </c>
      <c r="B19" s="56">
        <v>8.5000000000000006E-3</v>
      </c>
      <c r="C19" s="56">
        <v>8.9999999999999993E-3</v>
      </c>
      <c r="D19" s="57" t="s">
        <v>28</v>
      </c>
      <c r="E19" s="58">
        <v>1.25</v>
      </c>
      <c r="F19" s="57"/>
      <c r="G19" s="59" t="s">
        <v>74</v>
      </c>
      <c r="H19" s="1"/>
      <c r="I19" s="1"/>
      <c r="J19" s="1"/>
      <c r="K19" s="1"/>
      <c r="L19" s="1"/>
    </row>
    <row r="20" spans="1:13" ht="13" x14ac:dyDescent="0.3">
      <c r="A20" s="55"/>
      <c r="B20" s="56"/>
      <c r="C20" s="56"/>
      <c r="D20" s="57"/>
      <c r="E20" s="58" t="s">
        <v>31</v>
      </c>
      <c r="F20" s="57" t="s">
        <v>78</v>
      </c>
      <c r="G20" s="148">
        <f>+L1</f>
        <v>273</v>
      </c>
      <c r="H20" s="1"/>
      <c r="I20" s="1"/>
      <c r="J20" s="1"/>
      <c r="K20" s="6"/>
      <c r="L20" s="7"/>
      <c r="M20" s="1"/>
    </row>
    <row r="21" spans="1:13" ht="13" x14ac:dyDescent="0.3">
      <c r="A21" s="55" t="s">
        <v>12</v>
      </c>
      <c r="B21" s="146">
        <v>7.4999999999999997E-3</v>
      </c>
      <c r="C21" s="146">
        <v>8.0000000000000002E-3</v>
      </c>
      <c r="D21" s="57" t="s">
        <v>32</v>
      </c>
      <c r="E21" s="145">
        <v>44124</v>
      </c>
      <c r="F21" s="145">
        <v>44397</v>
      </c>
      <c r="G21" s="155" t="str">
        <f>+M1</f>
        <v>9 mois</v>
      </c>
      <c r="H21" s="2"/>
      <c r="I21" s="15"/>
      <c r="J21" s="2"/>
      <c r="K21" s="9"/>
      <c r="L21" s="2"/>
    </row>
    <row r="22" spans="1:13" ht="13.5" thickBot="1" x14ac:dyDescent="0.35">
      <c r="A22" s="60" t="s">
        <v>66</v>
      </c>
      <c r="B22" s="144">
        <v>44120</v>
      </c>
      <c r="C22" s="61" t="str">
        <f>VLOOKUP(WEEKDAY(B22,1),$P$1:$Q$7,2)</f>
        <v>Vendredi</v>
      </c>
      <c r="D22" s="149"/>
      <c r="E22" s="61" t="str">
        <f>VLOOKUP(WEEKDAY(E21,1),$P$1:$Q$7,2)</f>
        <v>Mardi</v>
      </c>
      <c r="F22" s="61" t="str">
        <f>VLOOKUP(WEEKDAY(F21,1),$P$1:$Q$7,2)</f>
        <v>Mardi</v>
      </c>
      <c r="G22" s="150"/>
      <c r="H22" s="1"/>
      <c r="I22" s="1"/>
      <c r="J22" s="1"/>
      <c r="K22" s="1"/>
      <c r="L22" s="1"/>
    </row>
    <row r="23" spans="1:13" ht="13" x14ac:dyDescent="0.3">
      <c r="A23" s="1"/>
      <c r="C23" s="1"/>
      <c r="D23" s="1"/>
      <c r="E23" s="1"/>
      <c r="F23" s="1"/>
      <c r="G23" s="14"/>
      <c r="H23" s="1"/>
      <c r="I23" s="1"/>
      <c r="J23" s="1"/>
      <c r="K23" s="2"/>
      <c r="L23" s="2"/>
    </row>
    <row r="24" spans="1:13" ht="13" x14ac:dyDescent="0.3">
      <c r="B24" s="1"/>
      <c r="C24" s="1"/>
      <c r="D24" s="2"/>
      <c r="E24" s="1"/>
      <c r="F24" s="1"/>
      <c r="G24" s="1"/>
      <c r="H24" s="1"/>
      <c r="I24" s="1"/>
      <c r="J24" s="1"/>
      <c r="K24" s="10"/>
      <c r="L24" s="10"/>
    </row>
    <row r="25" spans="1:13" ht="13" x14ac:dyDescent="0.3">
      <c r="B25" s="2"/>
      <c r="C25" s="2"/>
      <c r="D25" s="2"/>
      <c r="E25" s="1"/>
      <c r="F25" s="1"/>
      <c r="G25" s="3"/>
      <c r="H25" s="1"/>
      <c r="I25" s="1"/>
      <c r="J25" s="1"/>
      <c r="K25" s="1"/>
      <c r="L25" s="1"/>
    </row>
    <row r="26" spans="1:13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3" ht="13" x14ac:dyDescent="0.3">
      <c r="B27" s="2"/>
      <c r="C27" s="2"/>
      <c r="D27" s="5"/>
      <c r="E27" s="4"/>
      <c r="F27" s="1"/>
      <c r="G27" s="8"/>
      <c r="H27" s="2"/>
      <c r="I27" s="15"/>
      <c r="J27" s="2"/>
      <c r="K27" s="14"/>
      <c r="L27" s="1"/>
    </row>
    <row r="28" spans="1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3" ht="13" x14ac:dyDescent="0.3">
      <c r="B29" s="2"/>
      <c r="C29" s="2"/>
      <c r="D29" s="4"/>
      <c r="E29" s="5"/>
      <c r="F29" s="2"/>
      <c r="G29" s="14"/>
      <c r="H29" s="1"/>
      <c r="I29" s="1"/>
      <c r="J29" s="1"/>
      <c r="K29" s="1"/>
      <c r="L29" s="1"/>
    </row>
    <row r="30" spans="1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3" ht="13" x14ac:dyDescent="0.3">
      <c r="B31" s="2"/>
      <c r="C31" s="2"/>
      <c r="D31" s="12"/>
      <c r="E31" s="11"/>
      <c r="F31" s="1"/>
      <c r="G31" s="1"/>
      <c r="H31" s="1"/>
      <c r="I31" s="1"/>
      <c r="J31" s="1"/>
      <c r="K31" s="1"/>
      <c r="L31" s="1"/>
    </row>
    <row r="32" spans="1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3" ht="13" x14ac:dyDescent="0.3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</row>
    <row r="34" spans="2:13" ht="13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</row>
    <row r="35" spans="2:13" ht="16" x14ac:dyDescent="0.6">
      <c r="B35" s="2"/>
      <c r="C35" s="2"/>
      <c r="D35" s="12"/>
      <c r="E35" s="12"/>
      <c r="F35" s="1"/>
      <c r="G35" s="1"/>
      <c r="H35" s="1"/>
      <c r="I35" s="1"/>
      <c r="J35" s="1"/>
      <c r="K35" s="1"/>
      <c r="L35" s="2"/>
      <c r="M35" s="16"/>
    </row>
    <row r="36" spans="2:13" ht="16" x14ac:dyDescent="0.6">
      <c r="B36" s="1"/>
      <c r="C36" s="1"/>
      <c r="D36" s="1"/>
      <c r="E36" s="1"/>
      <c r="F36" s="1"/>
      <c r="G36" s="1"/>
      <c r="H36" s="1"/>
      <c r="I36" s="1"/>
      <c r="J36" s="19"/>
      <c r="K36" s="1"/>
      <c r="L36" s="1"/>
      <c r="M36" s="17"/>
    </row>
    <row r="37" spans="2:13" ht="16" x14ac:dyDescent="0.6">
      <c r="B37" s="2"/>
      <c r="C37" s="1"/>
      <c r="D37" s="1"/>
      <c r="E37" s="2"/>
      <c r="F37" s="1"/>
      <c r="G37" s="1"/>
      <c r="H37" s="1"/>
      <c r="I37" s="2"/>
      <c r="J37" s="14"/>
      <c r="K37" s="2"/>
      <c r="L37" s="2"/>
      <c r="M37" s="18"/>
    </row>
    <row r="38" spans="2:13" ht="16" x14ac:dyDescent="0.6">
      <c r="B38" s="1"/>
      <c r="C38" s="1"/>
      <c r="D38" s="1"/>
      <c r="E38" s="1"/>
      <c r="F38" s="1"/>
      <c r="G38" s="1"/>
      <c r="H38" s="1"/>
      <c r="I38" s="2"/>
      <c r="J38" s="2"/>
      <c r="K38" s="2"/>
      <c r="L38" s="2"/>
      <c r="M38" s="17"/>
    </row>
    <row r="39" spans="2:13" ht="16" x14ac:dyDescent="0.6">
      <c r="B39" s="2"/>
      <c r="C39" s="2"/>
      <c r="D39" s="12"/>
      <c r="E39" s="12"/>
      <c r="F39" s="1"/>
      <c r="G39" s="8"/>
      <c r="H39" s="1"/>
      <c r="I39" s="2"/>
      <c r="J39" s="13"/>
      <c r="K39" s="2"/>
      <c r="L39" s="2"/>
      <c r="M39" s="18"/>
    </row>
    <row r="40" spans="2:13" ht="16" x14ac:dyDescent="0.6">
      <c r="B40" s="1"/>
      <c r="C40" s="1"/>
      <c r="D40" s="1"/>
      <c r="E40" s="1"/>
      <c r="F40" s="1"/>
      <c r="G40" s="1"/>
      <c r="H40" s="1"/>
      <c r="I40" s="1"/>
      <c r="J40" s="19"/>
      <c r="K40" s="1"/>
      <c r="L40" s="1"/>
      <c r="M40" s="17"/>
    </row>
    <row r="41" spans="2:13" ht="16" x14ac:dyDescent="0.6">
      <c r="B41" s="2"/>
      <c r="C41" s="2"/>
      <c r="D41" s="12"/>
      <c r="E41" s="12"/>
      <c r="F41" s="1"/>
      <c r="G41" s="8"/>
      <c r="H41" s="1"/>
      <c r="I41" s="1"/>
      <c r="J41" s="1"/>
      <c r="K41" s="1"/>
      <c r="L41" s="2"/>
      <c r="M41" s="16"/>
    </row>
    <row r="42" spans="2:13" ht="16" x14ac:dyDescent="0.6">
      <c r="B42" s="1"/>
      <c r="C42" s="1"/>
      <c r="D42" s="1"/>
      <c r="E42" s="1"/>
      <c r="F42" s="1"/>
      <c r="G42" s="1"/>
      <c r="L42" s="2"/>
      <c r="M42" s="16"/>
    </row>
    <row r="43" spans="2:13" x14ac:dyDescent="0.25">
      <c r="B43" s="1"/>
      <c r="C43" s="1"/>
      <c r="D43" s="1"/>
      <c r="E43" s="1"/>
      <c r="F43" s="1"/>
      <c r="G43" s="1"/>
    </row>
  </sheetData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3161-5A5E-4663-BD32-1A2E4D48D11A}">
  <dimension ref="B1:L17"/>
  <sheetViews>
    <sheetView workbookViewId="0">
      <selection activeCell="H18" sqref="H18"/>
    </sheetView>
  </sheetViews>
  <sheetFormatPr baseColWidth="10" defaultRowHeight="12.5" x14ac:dyDescent="0.25"/>
  <cols>
    <col min="2" max="2" width="12.26953125" bestFit="1" customWidth="1"/>
    <col min="3" max="3" width="14.453125" bestFit="1" customWidth="1"/>
    <col min="5" max="5" width="15" bestFit="1" customWidth="1"/>
    <col min="8" max="8" width="15.26953125" bestFit="1" customWidth="1"/>
    <col min="10" max="10" width="17.1796875" bestFit="1" customWidth="1"/>
    <col min="11" max="11" width="14.26953125" bestFit="1" customWidth="1"/>
  </cols>
  <sheetData>
    <row r="1" spans="2:12" ht="14.5" x14ac:dyDescent="0.35">
      <c r="G1" s="124" t="str">
        <f>+'[1]Fx Forward'!I1</f>
        <v>Liability</v>
      </c>
      <c r="H1" s="125">
        <f>+Import!C1</f>
        <v>-15000000</v>
      </c>
      <c r="I1" s="124" t="s">
        <v>0</v>
      </c>
    </row>
    <row r="3" spans="2:12" ht="15" thickBot="1" x14ac:dyDescent="0.4">
      <c r="G3" s="126" t="s">
        <v>54</v>
      </c>
      <c r="H3" s="126" t="s">
        <v>55</v>
      </c>
      <c r="I3" s="79" t="s">
        <v>82</v>
      </c>
      <c r="K3" s="126" t="s">
        <v>83</v>
      </c>
    </row>
    <row r="4" spans="2:12" ht="15" thickBot="1" x14ac:dyDescent="0.4">
      <c r="B4" s="153" t="str">
        <f>+Import!D19</f>
        <v>Hypothèse 2</v>
      </c>
      <c r="C4" s="154">
        <f>+Import!E19</f>
        <v>1.25</v>
      </c>
      <c r="E4" s="127" t="s">
        <v>56</v>
      </c>
      <c r="F4" s="127" t="s">
        <v>57</v>
      </c>
      <c r="G4" s="128">
        <f>+C4</f>
        <v>1.25</v>
      </c>
      <c r="H4" s="129">
        <f>+H1/G4</f>
        <v>-12000000</v>
      </c>
      <c r="I4" s="127" t="s">
        <v>10</v>
      </c>
      <c r="J4" s="127" t="s">
        <v>58</v>
      </c>
      <c r="K4" s="130">
        <f>+H4-H6</f>
        <v>690355.32994923741</v>
      </c>
      <c r="L4" s="126" t="s">
        <v>59</v>
      </c>
    </row>
    <row r="5" spans="2:12" ht="15" thickBot="1" x14ac:dyDescent="0.4">
      <c r="H5" s="129"/>
      <c r="I5" s="127"/>
    </row>
    <row r="6" spans="2:12" ht="15" thickBot="1" x14ac:dyDescent="0.4">
      <c r="C6" s="140" t="str">
        <f>+Import!F11</f>
        <v>1,1745 + 0,0075</v>
      </c>
      <c r="E6" s="127" t="s">
        <v>60</v>
      </c>
      <c r="F6" s="127" t="s">
        <v>61</v>
      </c>
      <c r="G6" s="128">
        <f>+Import!J7</f>
        <v>1.1820000000000002</v>
      </c>
      <c r="H6" s="129">
        <f>+H1/G6</f>
        <v>-12690355.329949237</v>
      </c>
      <c r="I6" s="127" t="s">
        <v>10</v>
      </c>
      <c r="J6" s="127" t="s">
        <v>62</v>
      </c>
      <c r="K6">
        <v>0</v>
      </c>
    </row>
    <row r="7" spans="2:12" ht="15" thickBot="1" x14ac:dyDescent="0.4">
      <c r="H7" s="129"/>
      <c r="I7" s="127"/>
    </row>
    <row r="8" spans="2:12" ht="15" thickBot="1" x14ac:dyDescent="0.4">
      <c r="C8" s="141" t="str">
        <f>+Import!J16</f>
        <v>1,25 - 0,0305</v>
      </c>
      <c r="D8" s="131" t="str">
        <f>+'[1]FX Option'!D27</f>
        <v>ABANDON</v>
      </c>
      <c r="E8" s="127" t="s">
        <v>63</v>
      </c>
      <c r="F8" s="127" t="s">
        <v>61</v>
      </c>
      <c r="G8" s="128">
        <f>+Import!J15</f>
        <v>1.2195</v>
      </c>
      <c r="H8" s="129">
        <f>+H1/G8</f>
        <v>-12300123.001230013</v>
      </c>
      <c r="I8" s="127" t="s">
        <v>10</v>
      </c>
      <c r="K8" s="130">
        <f>+H8-H6</f>
        <v>390232.32871922478</v>
      </c>
      <c r="L8" s="126" t="s">
        <v>59</v>
      </c>
    </row>
    <row r="12" spans="2:12" ht="15" thickBot="1" x14ac:dyDescent="0.4">
      <c r="G12" s="126" t="s">
        <v>54</v>
      </c>
      <c r="H12" s="126" t="s">
        <v>55</v>
      </c>
      <c r="I12" s="79" t="str">
        <f>+I3</f>
        <v>in EUR</v>
      </c>
      <c r="K12" s="126" t="s">
        <v>83</v>
      </c>
    </row>
    <row r="13" spans="2:12" ht="15" thickBot="1" x14ac:dyDescent="0.4">
      <c r="B13" s="153" t="str">
        <f>+Import!D18</f>
        <v>Hypothèse 1</v>
      </c>
      <c r="C13" s="154">
        <f>+Import!E18</f>
        <v>1.1000000000000001</v>
      </c>
      <c r="E13" s="127" t="s">
        <v>56</v>
      </c>
      <c r="F13" s="127" t="s">
        <v>57</v>
      </c>
      <c r="G13" s="128">
        <f>+C13</f>
        <v>1.1000000000000001</v>
      </c>
      <c r="H13" s="129">
        <f>+H1/G13</f>
        <v>-13636363.636363635</v>
      </c>
      <c r="I13" s="127" t="s">
        <v>10</v>
      </c>
      <c r="J13" s="127" t="s">
        <v>62</v>
      </c>
      <c r="K13" s="130">
        <f>+H13-H15</f>
        <v>-946008.30641439743</v>
      </c>
      <c r="L13" s="126" t="s">
        <v>64</v>
      </c>
    </row>
    <row r="14" spans="2:12" ht="15" thickBot="1" x14ac:dyDescent="0.4">
      <c r="H14" s="129"/>
      <c r="I14" s="127"/>
    </row>
    <row r="15" spans="2:12" ht="15" thickBot="1" x14ac:dyDescent="0.4">
      <c r="C15" s="140" t="str">
        <f>+C6</f>
        <v>1,1745 + 0,0075</v>
      </c>
      <c r="E15" s="127" t="s">
        <v>60</v>
      </c>
      <c r="F15" s="127" t="s">
        <v>61</v>
      </c>
      <c r="G15" s="128">
        <f>+G6</f>
        <v>1.1820000000000002</v>
      </c>
      <c r="H15" s="129">
        <f>+H1/G15</f>
        <v>-12690355.329949237</v>
      </c>
      <c r="I15" s="127" t="s">
        <v>10</v>
      </c>
      <c r="J15" s="127" t="s">
        <v>58</v>
      </c>
      <c r="K15">
        <v>0</v>
      </c>
    </row>
    <row r="16" spans="2:12" ht="15" thickBot="1" x14ac:dyDescent="0.4">
      <c r="H16" s="129"/>
      <c r="I16" s="127"/>
    </row>
    <row r="17" spans="3:12" ht="15" thickBot="1" x14ac:dyDescent="0.4">
      <c r="C17" s="141" t="str">
        <f>+Import!J11</f>
        <v>1,182 - 0,0305</v>
      </c>
      <c r="D17" s="131" t="str">
        <f>+'[1]FX Option'!D30</f>
        <v>EXERCISE</v>
      </c>
      <c r="E17" s="127" t="s">
        <v>63</v>
      </c>
      <c r="F17" s="127" t="s">
        <v>61</v>
      </c>
      <c r="G17" s="128">
        <f>+Import!J12</f>
        <v>1.1515000000000002</v>
      </c>
      <c r="H17" s="129">
        <f>+H1/G17</f>
        <v>-13026487.190620927</v>
      </c>
      <c r="I17" s="127" t="s">
        <v>10</v>
      </c>
      <c r="K17" s="132">
        <f>+H17-H15</f>
        <v>-336131.86067168973</v>
      </c>
      <c r="L17" s="133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1"/>
  <sheetViews>
    <sheetView tabSelected="1" zoomScaleNormal="100" workbookViewId="0">
      <selection activeCell="I12" sqref="I12"/>
    </sheetView>
  </sheetViews>
  <sheetFormatPr baseColWidth="10" defaultColWidth="9.1796875" defaultRowHeight="12.5" x14ac:dyDescent="0.25"/>
  <cols>
    <col min="1" max="1" width="22.1796875" bestFit="1" customWidth="1"/>
    <col min="2" max="2" width="14.1796875" bestFit="1" customWidth="1"/>
    <col min="3" max="3" width="13.1796875" bestFit="1" customWidth="1"/>
    <col min="4" max="4" width="15.453125" bestFit="1" customWidth="1"/>
    <col min="5" max="6" width="11.453125" customWidth="1"/>
    <col min="7" max="7" width="15.453125" bestFit="1" customWidth="1"/>
    <col min="8" max="8" width="20.7265625" bestFit="1" customWidth="1"/>
    <col min="9" max="9" width="15.453125" bestFit="1" customWidth="1"/>
    <col min="10" max="10" width="15" bestFit="1" customWidth="1"/>
    <col min="11" max="11" width="15.453125" bestFit="1" customWidth="1"/>
    <col min="12" max="256" width="11.453125" customWidth="1"/>
  </cols>
  <sheetData>
    <row r="1" spans="1:17" ht="13" x14ac:dyDescent="0.3">
      <c r="A1" t="str">
        <f>+A17</f>
        <v>Emprunt FwdFwd Cash</v>
      </c>
      <c r="B1" s="94">
        <f>-C17</f>
        <v>-25000000</v>
      </c>
      <c r="H1" s="79" t="s">
        <v>85</v>
      </c>
      <c r="M1" s="142" t="s">
        <v>34</v>
      </c>
      <c r="N1" t="s">
        <v>94</v>
      </c>
      <c r="P1">
        <v>1</v>
      </c>
      <c r="Q1" t="s">
        <v>67</v>
      </c>
    </row>
    <row r="2" spans="1:17" ht="13" x14ac:dyDescent="0.3">
      <c r="A2" s="1" t="str">
        <f>+A9&amp;M2&amp;M1&amp;M2&amp;A12</f>
        <v>6M / 9M</v>
      </c>
      <c r="G2" s="79" t="str">
        <f>+A9</f>
        <v>6M</v>
      </c>
      <c r="I2" s="79" t="str">
        <f>+A12</f>
        <v>9M</v>
      </c>
      <c r="M2" s="42" t="s">
        <v>23</v>
      </c>
      <c r="N2" t="s">
        <v>95</v>
      </c>
      <c r="P2">
        <v>2</v>
      </c>
      <c r="Q2" t="s">
        <v>68</v>
      </c>
    </row>
    <row r="3" spans="1:17" x14ac:dyDescent="0.25">
      <c r="B3" t="s">
        <v>80</v>
      </c>
      <c r="D3" t="s">
        <v>31</v>
      </c>
      <c r="G3" s="44">
        <f>+G4-D4</f>
        <v>182</v>
      </c>
      <c r="I3" s="44">
        <f>+I4-D4</f>
        <v>273</v>
      </c>
      <c r="N3" t="s">
        <v>23</v>
      </c>
      <c r="P3">
        <v>3</v>
      </c>
      <c r="Q3" t="s">
        <v>69</v>
      </c>
    </row>
    <row r="4" spans="1:17" ht="13" x14ac:dyDescent="0.3">
      <c r="A4" s="42" t="str">
        <f>+D17</f>
        <v>Date</v>
      </c>
      <c r="B4" s="45">
        <f>+E17</f>
        <v>44120</v>
      </c>
      <c r="C4" s="45"/>
      <c r="D4" s="45">
        <f>+B10</f>
        <v>44124</v>
      </c>
      <c r="G4" s="45">
        <f>+C10</f>
        <v>44306</v>
      </c>
      <c r="I4" s="45">
        <f>+C13</f>
        <v>44397</v>
      </c>
      <c r="J4" s="79" t="s">
        <v>36</v>
      </c>
      <c r="K4" s="79" t="s">
        <v>37</v>
      </c>
      <c r="P4">
        <v>4</v>
      </c>
      <c r="Q4" t="s">
        <v>70</v>
      </c>
    </row>
    <row r="5" spans="1:17" ht="13" x14ac:dyDescent="0.3">
      <c r="B5" t="str">
        <f>N1&amp;N3&amp;I2</f>
        <v>Emprunt 9M</v>
      </c>
      <c r="D5" s="81">
        <f>+C17</f>
        <v>25000000</v>
      </c>
      <c r="E5" s="47">
        <f>+C12</f>
        <v>8.9999999999999993E-3</v>
      </c>
      <c r="I5" s="48">
        <f>-D5</f>
        <v>-25000000</v>
      </c>
      <c r="J5" s="48">
        <f>+I5*E5*I3/360</f>
        <v>-170624.99999999997</v>
      </c>
      <c r="K5" s="80">
        <f>+I5+J5</f>
        <v>-25170625</v>
      </c>
      <c r="P5">
        <v>5</v>
      </c>
      <c r="Q5" t="s">
        <v>71</v>
      </c>
    </row>
    <row r="6" spans="1:17" ht="13.5" thickBot="1" x14ac:dyDescent="0.35">
      <c r="D6" s="79" t="str">
        <f>+E12</f>
        <v>PV</v>
      </c>
      <c r="G6" s="79" t="str">
        <f>+E10&amp;A9</f>
        <v>FV6M</v>
      </c>
      <c r="I6" s="79" t="str">
        <f>+E10&amp;A12</f>
        <v>FV9M</v>
      </c>
      <c r="P6">
        <v>6</v>
      </c>
      <c r="Q6" t="s">
        <v>72</v>
      </c>
    </row>
    <row r="7" spans="1:17" ht="13" x14ac:dyDescent="0.3">
      <c r="B7" t="str">
        <f>N2&amp;N3&amp;G2</f>
        <v>Prêt 6M</v>
      </c>
      <c r="D7" s="46">
        <f>-D5</f>
        <v>-25000000</v>
      </c>
      <c r="E7" s="47">
        <f>+B9</f>
        <v>8.0000000000000002E-3</v>
      </c>
      <c r="G7" s="82">
        <f>-D7*(1+(E7*G3/360))</f>
        <v>25101111.111111112</v>
      </c>
      <c r="H7" s="83"/>
      <c r="I7" s="84">
        <f>+K5</f>
        <v>-25170625</v>
      </c>
      <c r="P7">
        <v>7</v>
      </c>
      <c r="Q7" t="s">
        <v>73</v>
      </c>
    </row>
    <row r="8" spans="1:17" ht="13.5" thickBot="1" x14ac:dyDescent="0.35">
      <c r="D8" s="46"/>
      <c r="G8" s="85"/>
      <c r="H8" s="86" t="str">
        <f>+E15</f>
        <v>6M/9M</v>
      </c>
      <c r="I8" s="87">
        <f>+I9-G9</f>
        <v>91</v>
      </c>
      <c r="J8" s="42" t="s">
        <v>86</v>
      </c>
    </row>
    <row r="9" spans="1:17" ht="13.5" thickBot="1" x14ac:dyDescent="0.35">
      <c r="A9" s="62" t="s">
        <v>33</v>
      </c>
      <c r="B9" s="71">
        <v>8.0000000000000002E-3</v>
      </c>
      <c r="C9" s="71">
        <v>8.5000000000000006E-3</v>
      </c>
      <c r="D9" s="63"/>
      <c r="E9" s="77" t="s">
        <v>34</v>
      </c>
      <c r="F9" s="64"/>
      <c r="G9" s="151">
        <f>+C10</f>
        <v>44306</v>
      </c>
      <c r="H9" s="89"/>
      <c r="I9" s="90">
        <f>+C13</f>
        <v>44397</v>
      </c>
    </row>
    <row r="10" spans="1:17" ht="13" x14ac:dyDescent="0.3">
      <c r="A10" s="65" t="s">
        <v>32</v>
      </c>
      <c r="B10" s="74">
        <v>44124</v>
      </c>
      <c r="C10" s="73">
        <v>44306</v>
      </c>
      <c r="D10" s="75">
        <f>+C10-B10</f>
        <v>182</v>
      </c>
      <c r="E10" s="66" t="s">
        <v>38</v>
      </c>
      <c r="F10" s="67"/>
    </row>
    <row r="11" spans="1:17" ht="13" x14ac:dyDescent="0.3">
      <c r="A11" s="65"/>
      <c r="B11" s="57" t="str">
        <f>VLOOKUP(WEEKDAY(B10,1),$P$1:$Q$7,2)</f>
        <v>Mardi</v>
      </c>
      <c r="C11" s="57" t="str">
        <f>VLOOKUP(WEEKDAY(C10,1),$P$1:$Q$7,2)</f>
        <v>Mardi</v>
      </c>
      <c r="D11" s="75"/>
      <c r="E11" s="66"/>
      <c r="F11" s="67"/>
      <c r="I11" s="49">
        <f>-I7/G7</f>
        <v>1.0027693550528971</v>
      </c>
    </row>
    <row r="12" spans="1:17" ht="13" x14ac:dyDescent="0.3">
      <c r="A12" s="65" t="s">
        <v>84</v>
      </c>
      <c r="B12" s="72">
        <v>8.5000000000000006E-3</v>
      </c>
      <c r="C12" s="72">
        <v>8.9999999999999993E-3</v>
      </c>
      <c r="D12" s="66"/>
      <c r="E12" s="66" t="s">
        <v>39</v>
      </c>
      <c r="F12" s="67"/>
      <c r="I12" s="49">
        <f>+I11-1</f>
        <v>2.7693550528971045E-3</v>
      </c>
    </row>
    <row r="13" spans="1:17" ht="13.5" thickBot="1" x14ac:dyDescent="0.35">
      <c r="A13" s="65" t="s">
        <v>32</v>
      </c>
      <c r="B13" s="74">
        <f>+B10</f>
        <v>44124</v>
      </c>
      <c r="C13" s="73">
        <v>44397</v>
      </c>
      <c r="D13" s="75">
        <f>+C13-B13</f>
        <v>273</v>
      </c>
      <c r="E13" s="66"/>
      <c r="F13" s="67"/>
      <c r="I13" s="50">
        <f>+I12</f>
        <v>2.7693550528971045E-3</v>
      </c>
    </row>
    <row r="14" spans="1:17" ht="13.5" thickBot="1" x14ac:dyDescent="0.35">
      <c r="A14" s="65"/>
      <c r="B14" s="57" t="str">
        <f>VLOOKUP(WEEKDAY(B13,1),$P$1:$Q$7,2)</f>
        <v>Mardi</v>
      </c>
      <c r="C14" s="57" t="str">
        <f>VLOOKUP(WEEKDAY(C13,1),$P$1:$Q$7,2)</f>
        <v>Mardi</v>
      </c>
      <c r="D14" s="75"/>
      <c r="E14" s="66"/>
      <c r="F14" s="67"/>
      <c r="H14" s="91" t="s">
        <v>35</v>
      </c>
      <c r="I14" s="92">
        <f>+I13/I8*360</f>
        <v>1.095569031915338E-2</v>
      </c>
    </row>
    <row r="15" spans="1:17" ht="13" x14ac:dyDescent="0.3">
      <c r="A15" s="65" t="str">
        <f>H1&amp;M2&amp;A2</f>
        <v>FWD/FWD 6M / 9M</v>
      </c>
      <c r="B15" s="73">
        <f>+C10</f>
        <v>44306</v>
      </c>
      <c r="C15" s="73">
        <f>+C13</f>
        <v>44397</v>
      </c>
      <c r="D15" s="75">
        <f>+C15-B15</f>
        <v>91</v>
      </c>
      <c r="E15" s="66" t="str">
        <f>+A9&amp;E9&amp;A12</f>
        <v>6M/9M</v>
      </c>
      <c r="F15" s="67"/>
      <c r="H15" s="97"/>
      <c r="I15" s="106"/>
    </row>
    <row r="16" spans="1:17" ht="13" x14ac:dyDescent="0.3">
      <c r="A16" s="65"/>
      <c r="B16" s="57" t="str">
        <f>VLOOKUP(WEEKDAY(B15,1),$P$1:$Q$7,2)</f>
        <v>Mardi</v>
      </c>
      <c r="C16" s="57" t="str">
        <f>VLOOKUP(WEEKDAY(C15,1),$P$1:$Q$7,2)</f>
        <v>Mardi</v>
      </c>
      <c r="D16" s="75"/>
      <c r="E16" s="66"/>
      <c r="F16" s="67"/>
    </row>
    <row r="17" spans="1:11" ht="13.5" thickBot="1" x14ac:dyDescent="0.35">
      <c r="A17" s="68" t="s">
        <v>40</v>
      </c>
      <c r="B17" s="69"/>
      <c r="C17" s="76">
        <v>25000000</v>
      </c>
      <c r="D17" s="69" t="s">
        <v>65</v>
      </c>
      <c r="E17" s="143">
        <v>44120</v>
      </c>
      <c r="F17" s="152" t="str">
        <f>VLOOKUP(WEEKDAY(E17,1),$P$1:$Q$7,2)</f>
        <v>Vendredi</v>
      </c>
    </row>
    <row r="19" spans="1:11" ht="13" x14ac:dyDescent="0.3">
      <c r="G19" s="79" t="str">
        <f>+A9</f>
        <v>6M</v>
      </c>
      <c r="I19" s="79" t="str">
        <f>+A12</f>
        <v>9M</v>
      </c>
    </row>
    <row r="20" spans="1:11" x14ac:dyDescent="0.25">
      <c r="D20" t="s">
        <v>31</v>
      </c>
      <c r="G20" s="44">
        <f>+G21-D21</f>
        <v>182</v>
      </c>
      <c r="I20" s="44">
        <f>+I21-D21</f>
        <v>273</v>
      </c>
    </row>
    <row r="21" spans="1:11" ht="13" x14ac:dyDescent="0.3">
      <c r="C21" s="45"/>
      <c r="D21" s="45">
        <f>+B10</f>
        <v>44124</v>
      </c>
      <c r="G21" s="45">
        <f>+C10</f>
        <v>44306</v>
      </c>
      <c r="I21" s="45">
        <f>+C13</f>
        <v>44397</v>
      </c>
      <c r="J21" s="79" t="str">
        <f>+J4</f>
        <v>Int</v>
      </c>
      <c r="K21" s="79" t="str">
        <f>+K4</f>
        <v>Future Value</v>
      </c>
    </row>
    <row r="22" spans="1:11" x14ac:dyDescent="0.25">
      <c r="B22" t="str">
        <f>+B5</f>
        <v>Emprunt 9M</v>
      </c>
      <c r="D22" s="46">
        <f>+D24</f>
        <v>24899296.179894645</v>
      </c>
      <c r="E22" s="47">
        <f>+C12</f>
        <v>8.9999999999999993E-3</v>
      </c>
      <c r="F22" s="47"/>
      <c r="G22" s="48"/>
      <c r="I22" s="48">
        <f>-D22</f>
        <v>-24899296.179894645</v>
      </c>
      <c r="J22" s="48">
        <f>+I22*E22*I20/360</f>
        <v>-169937.69642778093</v>
      </c>
      <c r="K22" s="48">
        <f>+I22+J22</f>
        <v>-25069233.876322426</v>
      </c>
    </row>
    <row r="23" spans="1:11" ht="13.5" thickBot="1" x14ac:dyDescent="0.35">
      <c r="D23" s="79" t="str">
        <f>+E12</f>
        <v>PV</v>
      </c>
      <c r="G23" s="79" t="str">
        <f>+G6</f>
        <v>FV6M</v>
      </c>
      <c r="I23" s="79" t="str">
        <f>+I6</f>
        <v>FV9M</v>
      </c>
    </row>
    <row r="24" spans="1:11" ht="13" x14ac:dyDescent="0.3">
      <c r="B24" t="str">
        <f>+B7</f>
        <v>Prêt 6M</v>
      </c>
      <c r="D24" s="46">
        <f>+G24/(1+(E24*G20/360))</f>
        <v>24899296.179894645</v>
      </c>
      <c r="E24" s="47">
        <f>+B9</f>
        <v>8.0000000000000002E-3</v>
      </c>
      <c r="G24" s="82">
        <f>+C17</f>
        <v>25000000</v>
      </c>
      <c r="H24" s="83"/>
      <c r="I24" s="84">
        <f>+K22</f>
        <v>-25069233.876322426</v>
      </c>
    </row>
    <row r="25" spans="1:11" ht="13" x14ac:dyDescent="0.3">
      <c r="D25" s="46"/>
      <c r="G25" s="85"/>
      <c r="H25" s="86" t="str">
        <f>+E15</f>
        <v>6M/9M</v>
      </c>
      <c r="I25" s="87">
        <f>+I26-G26</f>
        <v>91</v>
      </c>
      <c r="J25" t="str">
        <f>+J8</f>
        <v>jours calendaires</v>
      </c>
    </row>
    <row r="26" spans="1:11" ht="13.5" thickBot="1" x14ac:dyDescent="0.35">
      <c r="G26" s="88">
        <f>+B15</f>
        <v>44306</v>
      </c>
      <c r="H26" s="89"/>
      <c r="I26" s="90">
        <f>+C15</f>
        <v>44397</v>
      </c>
    </row>
    <row r="28" spans="1:11" x14ac:dyDescent="0.25">
      <c r="I28" s="49">
        <f>-I24/G24</f>
        <v>1.0027693550528971</v>
      </c>
    </row>
    <row r="29" spans="1:11" x14ac:dyDescent="0.25">
      <c r="I29" s="49">
        <f>+I28-1</f>
        <v>2.7693550528971045E-3</v>
      </c>
    </row>
    <row r="30" spans="1:11" ht="13" thickBot="1" x14ac:dyDescent="0.3">
      <c r="I30" s="50">
        <f>+I29</f>
        <v>2.7693550528971045E-3</v>
      </c>
    </row>
    <row r="31" spans="1:11" ht="13.5" thickBot="1" x14ac:dyDescent="0.35">
      <c r="H31" s="91" t="s">
        <v>35</v>
      </c>
      <c r="I31" s="92">
        <f>+I30/I25*360</f>
        <v>1.095569031915338E-2</v>
      </c>
    </row>
  </sheetData>
  <phoneticPr fontId="2" type="noConversion"/>
  <pageMargins left="0.78740157480314965" right="0.78740157480314965" top="0.98425196850393704" bottom="0.98425196850393704" header="0.51181102362204722" footer="0.51181102362204722"/>
  <pageSetup paperSize="9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41"/>
  <sheetViews>
    <sheetView topLeftCell="A20" zoomScaleNormal="100" workbookViewId="0">
      <selection activeCell="G37" sqref="G37"/>
    </sheetView>
  </sheetViews>
  <sheetFormatPr baseColWidth="10" defaultColWidth="9.1796875" defaultRowHeight="12.5" x14ac:dyDescent="0.25"/>
  <cols>
    <col min="1" max="1" width="19.1796875" bestFit="1" customWidth="1"/>
    <col min="2" max="2" width="19" bestFit="1" customWidth="1"/>
    <col min="3" max="3" width="12.81640625" bestFit="1" customWidth="1"/>
    <col min="4" max="4" width="15.453125" bestFit="1" customWidth="1"/>
    <col min="5" max="5" width="26.81640625" bestFit="1" customWidth="1"/>
    <col min="6" max="6" width="11.453125" customWidth="1"/>
    <col min="7" max="7" width="15.453125" bestFit="1" customWidth="1"/>
    <col min="8" max="8" width="20.7265625" bestFit="1" customWidth="1"/>
    <col min="9" max="9" width="15.453125" bestFit="1" customWidth="1"/>
    <col min="10" max="10" width="11.81640625" bestFit="1" customWidth="1"/>
    <col min="11" max="11" width="15.453125" bestFit="1" customWidth="1"/>
    <col min="12" max="256" width="11.453125" customWidth="1"/>
  </cols>
  <sheetData>
    <row r="1" spans="1:17" ht="13" x14ac:dyDescent="0.3">
      <c r="A1" s="159" t="s">
        <v>87</v>
      </c>
      <c r="B1" s="160" t="s">
        <v>88</v>
      </c>
      <c r="L1" s="42" t="s">
        <v>23</v>
      </c>
      <c r="P1">
        <v>1</v>
      </c>
      <c r="Q1" t="s">
        <v>67</v>
      </c>
    </row>
    <row r="2" spans="1:17" ht="13.5" thickBot="1" x14ac:dyDescent="0.35">
      <c r="A2" s="161" t="str">
        <f>+FWDFWD!A2</f>
        <v>6M / 9M</v>
      </c>
      <c r="B2" s="162" t="str">
        <f>+A2</f>
        <v>6M / 9M</v>
      </c>
      <c r="G2" s="78" t="str">
        <f>+A13</f>
        <v>6M</v>
      </c>
      <c r="I2" s="78" t="str">
        <f>+A16</f>
        <v>9M</v>
      </c>
      <c r="P2">
        <v>2</v>
      </c>
      <c r="Q2" t="s">
        <v>68</v>
      </c>
    </row>
    <row r="3" spans="1:17" ht="13" x14ac:dyDescent="0.3">
      <c r="B3" s="79" t="s">
        <v>80</v>
      </c>
      <c r="D3" s="158" t="s">
        <v>31</v>
      </c>
      <c r="G3" s="44">
        <f>+G4-D4</f>
        <v>182</v>
      </c>
      <c r="I3" s="44">
        <f>+I4-D4</f>
        <v>273</v>
      </c>
      <c r="P3">
        <v>3</v>
      </c>
      <c r="Q3" t="s">
        <v>69</v>
      </c>
    </row>
    <row r="4" spans="1:17" ht="13" x14ac:dyDescent="0.3">
      <c r="B4" s="6">
        <f>+FWDFWD!E17</f>
        <v>44120</v>
      </c>
      <c r="C4" s="45"/>
      <c r="D4" s="6">
        <f>+B14</f>
        <v>44124</v>
      </c>
      <c r="G4" s="45">
        <f>+C14</f>
        <v>44306</v>
      </c>
      <c r="I4" s="45">
        <f>+C17</f>
        <v>44397</v>
      </c>
      <c r="J4" s="79"/>
      <c r="K4" s="79"/>
      <c r="P4">
        <v>4</v>
      </c>
      <c r="Q4" t="s">
        <v>70</v>
      </c>
    </row>
    <row r="5" spans="1:17" ht="13" x14ac:dyDescent="0.3">
      <c r="B5" t="str">
        <f>+A21</f>
        <v>ACHAT FRA 6M / 9M</v>
      </c>
      <c r="D5" s="81"/>
      <c r="E5" s="47"/>
      <c r="G5" s="94">
        <f>-C21</f>
        <v>25000000</v>
      </c>
      <c r="I5" s="48">
        <f>-G5*(1+(E21*I8/360))</f>
        <v>-25066354.166666664</v>
      </c>
      <c r="J5" s="171" t="s">
        <v>93</v>
      </c>
      <c r="K5" s="80"/>
      <c r="P5">
        <v>5</v>
      </c>
      <c r="Q5" t="s">
        <v>71</v>
      </c>
    </row>
    <row r="6" spans="1:17" ht="13.5" thickBot="1" x14ac:dyDescent="0.35">
      <c r="D6" s="79" t="str">
        <f>+E16</f>
        <v>PV</v>
      </c>
      <c r="G6" s="79" t="str">
        <f>+E14&amp;A13</f>
        <v>FV6M</v>
      </c>
      <c r="I6" s="79" t="str">
        <f>+E14&amp;A16</f>
        <v>FV9M</v>
      </c>
      <c r="P6">
        <v>6</v>
      </c>
      <c r="Q6" t="s">
        <v>72</v>
      </c>
    </row>
    <row r="7" spans="1:17" ht="13" x14ac:dyDescent="0.3">
      <c r="D7" s="46"/>
      <c r="E7" s="47"/>
      <c r="G7" s="82"/>
      <c r="H7" s="83"/>
      <c r="I7" s="84"/>
      <c r="P7">
        <v>7</v>
      </c>
      <c r="Q7" t="s">
        <v>73</v>
      </c>
    </row>
    <row r="8" spans="1:17" ht="13" x14ac:dyDescent="0.3">
      <c r="D8" s="46"/>
      <c r="G8" s="85"/>
      <c r="H8" s="86" t="str">
        <f>+E17&amp;E19</f>
        <v>FRA6M/9M</v>
      </c>
      <c r="I8" s="87">
        <f>+I9-G9</f>
        <v>91</v>
      </c>
    </row>
    <row r="9" spans="1:17" ht="13.5" thickBot="1" x14ac:dyDescent="0.35">
      <c r="G9" s="88">
        <f>+C14</f>
        <v>44306</v>
      </c>
      <c r="H9" s="89"/>
      <c r="I9" s="90">
        <f>+C17</f>
        <v>44397</v>
      </c>
    </row>
    <row r="10" spans="1:17" ht="13.5" thickBot="1" x14ac:dyDescent="0.35">
      <c r="H10" s="91" t="s">
        <v>35</v>
      </c>
      <c r="I10" s="92">
        <f>+E21</f>
        <v>1.0500000000000001E-2</v>
      </c>
      <c r="J10" s="79" t="s">
        <v>90</v>
      </c>
    </row>
    <row r="11" spans="1:17" x14ac:dyDescent="0.25">
      <c r="I11" s="49"/>
    </row>
    <row r="12" spans="1:17" ht="13" thickBot="1" x14ac:dyDescent="0.3">
      <c r="I12" s="49"/>
    </row>
    <row r="13" spans="1:17" ht="13" x14ac:dyDescent="0.3">
      <c r="A13" s="62" t="str">
        <f>+FWDFWD!A9</f>
        <v>6M</v>
      </c>
      <c r="B13" s="71"/>
      <c r="C13" s="71"/>
      <c r="D13" s="63"/>
      <c r="E13" s="77" t="s">
        <v>34</v>
      </c>
      <c r="F13" s="64" t="s">
        <v>42</v>
      </c>
      <c r="I13" s="50"/>
    </row>
    <row r="14" spans="1:17" ht="13" x14ac:dyDescent="0.3">
      <c r="A14" s="65" t="s">
        <v>32</v>
      </c>
      <c r="B14" s="163">
        <f>+FWDFWD!B10</f>
        <v>44124</v>
      </c>
      <c r="C14" s="163">
        <f>+FWDFWD!C10</f>
        <v>44306</v>
      </c>
      <c r="D14" s="75">
        <f>+C14-B14</f>
        <v>182</v>
      </c>
      <c r="E14" s="66" t="s">
        <v>38</v>
      </c>
      <c r="F14" s="95">
        <v>1.7500000000000002E-2</v>
      </c>
      <c r="I14" s="50"/>
    </row>
    <row r="15" spans="1:17" ht="13" x14ac:dyDescent="0.3">
      <c r="A15" s="65"/>
      <c r="B15" s="163" t="str">
        <f>+FWDFWD!B11</f>
        <v>Mardi</v>
      </c>
      <c r="C15" s="163" t="str">
        <f>+FWDFWD!C11</f>
        <v>Mardi</v>
      </c>
      <c r="D15" s="75"/>
      <c r="E15" s="66"/>
      <c r="F15" s="95"/>
      <c r="I15" s="50"/>
    </row>
    <row r="16" spans="1:17" ht="13" x14ac:dyDescent="0.3">
      <c r="A16" s="65" t="str">
        <f>+FWDFWD!A12</f>
        <v>9M</v>
      </c>
      <c r="B16" s="169"/>
      <c r="C16" s="169"/>
      <c r="D16" s="66"/>
      <c r="E16" s="66" t="s">
        <v>39</v>
      </c>
      <c r="F16" s="67" t="s">
        <v>43</v>
      </c>
    </row>
    <row r="17" spans="1:11" ht="13" x14ac:dyDescent="0.3">
      <c r="A17" s="65" t="s">
        <v>32</v>
      </c>
      <c r="B17" s="163">
        <f>+FWDFWD!B13</f>
        <v>44124</v>
      </c>
      <c r="C17" s="163">
        <f>+FWDFWD!C13</f>
        <v>44397</v>
      </c>
      <c r="D17" s="75">
        <f>+C17-B17</f>
        <v>273</v>
      </c>
      <c r="E17" s="66" t="s">
        <v>41</v>
      </c>
      <c r="F17" s="95">
        <v>2.5000000000000001E-2</v>
      </c>
    </row>
    <row r="18" spans="1:11" ht="13" x14ac:dyDescent="0.3">
      <c r="A18" s="65"/>
      <c r="B18" s="163" t="str">
        <f>+FWDFWD!B14</f>
        <v>Mardi</v>
      </c>
      <c r="C18" s="163" t="str">
        <f>+FWDFWD!C14</f>
        <v>Mardi</v>
      </c>
      <c r="D18" s="75"/>
      <c r="E18" s="66"/>
      <c r="F18" s="95"/>
    </row>
    <row r="19" spans="1:11" ht="13" x14ac:dyDescent="0.3">
      <c r="A19" s="65" t="str">
        <f>E17&amp;L1&amp;E19</f>
        <v>FRA 6M/9M</v>
      </c>
      <c r="B19" s="145">
        <f>+C14</f>
        <v>44306</v>
      </c>
      <c r="C19" s="145">
        <f>+C17</f>
        <v>44397</v>
      </c>
      <c r="D19" s="75">
        <f>+C19-B19</f>
        <v>91</v>
      </c>
      <c r="E19" s="66" t="str">
        <f>+A13&amp;E13&amp;A16</f>
        <v>6M/9M</v>
      </c>
      <c r="F19" s="67"/>
    </row>
    <row r="20" spans="1:11" ht="13" x14ac:dyDescent="0.3">
      <c r="A20" s="65"/>
      <c r="B20" s="145" t="str">
        <f>+C15</f>
        <v>Mardi</v>
      </c>
      <c r="C20" s="145" t="str">
        <f>+C18</f>
        <v>Mardi</v>
      </c>
      <c r="D20" s="164" t="s">
        <v>76</v>
      </c>
      <c r="E20" s="57" t="s">
        <v>77</v>
      </c>
      <c r="F20" s="67"/>
    </row>
    <row r="21" spans="1:11" ht="13" x14ac:dyDescent="0.3">
      <c r="A21" s="65" t="str">
        <f>B1&amp;L1&amp;B2</f>
        <v>ACHAT FRA 6M / 9M</v>
      </c>
      <c r="B21" s="57"/>
      <c r="C21" s="164">
        <f>+FWDFWD!B1</f>
        <v>-25000000</v>
      </c>
      <c r="D21" s="72">
        <v>0.01</v>
      </c>
      <c r="E21" s="72">
        <v>1.0500000000000001E-2</v>
      </c>
      <c r="F21" s="67"/>
    </row>
    <row r="22" spans="1:11" ht="13" x14ac:dyDescent="0.3">
      <c r="A22" s="65" t="s">
        <v>89</v>
      </c>
      <c r="B22" s="145">
        <v>44302</v>
      </c>
      <c r="C22" s="164"/>
      <c r="D22" s="72"/>
      <c r="E22" s="72"/>
      <c r="F22" s="67"/>
    </row>
    <row r="23" spans="1:11" ht="13" x14ac:dyDescent="0.3">
      <c r="A23" s="65"/>
      <c r="B23" s="57" t="str">
        <f>VLOOKUP(WEEKDAY(B22,1),$P$1:$Q$7,2)</f>
        <v>Vendredi</v>
      </c>
      <c r="C23" s="164"/>
      <c r="D23" s="72" t="s">
        <v>42</v>
      </c>
      <c r="E23" s="72">
        <v>7.4999999999999997E-3</v>
      </c>
      <c r="F23" s="67"/>
    </row>
    <row r="24" spans="1:11" ht="13" x14ac:dyDescent="0.3">
      <c r="A24" s="65"/>
      <c r="B24" s="57"/>
      <c r="C24" s="75"/>
      <c r="D24" s="72" t="s">
        <v>92</v>
      </c>
      <c r="E24" s="72">
        <v>1.35E-2</v>
      </c>
      <c r="F24" s="67"/>
    </row>
    <row r="25" spans="1:11" ht="13.5" thickBot="1" x14ac:dyDescent="0.35">
      <c r="A25" s="68"/>
      <c r="B25" s="61"/>
      <c r="C25" s="76"/>
      <c r="D25" s="93"/>
      <c r="E25" s="93"/>
      <c r="F25" s="70"/>
    </row>
    <row r="26" spans="1:11" ht="13" thickBot="1" x14ac:dyDescent="0.3"/>
    <row r="27" spans="1:11" ht="13.5" thickBot="1" x14ac:dyDescent="0.35">
      <c r="D27" s="165" t="str">
        <f>+A22</f>
        <v>Fixing Date</v>
      </c>
      <c r="E27" s="166">
        <f>+B22</f>
        <v>44302</v>
      </c>
      <c r="F27" s="167" t="s">
        <v>91</v>
      </c>
      <c r="G27" s="168">
        <f>+B19</f>
        <v>44306</v>
      </c>
    </row>
    <row r="28" spans="1:11" ht="13" x14ac:dyDescent="0.3">
      <c r="B28" s="96"/>
      <c r="C28" s="96"/>
      <c r="D28" s="96"/>
      <c r="E28" s="96"/>
      <c r="F28" s="96"/>
      <c r="G28" s="97"/>
      <c r="H28" s="96"/>
      <c r="I28" s="97"/>
      <c r="J28" s="96"/>
      <c r="K28" s="96"/>
    </row>
    <row r="29" spans="1:11" ht="13" x14ac:dyDescent="0.3">
      <c r="B29" s="170" t="str">
        <f>+D23</f>
        <v>HYP 1</v>
      </c>
      <c r="C29" s="101">
        <f>+E23</f>
        <v>7.4999999999999997E-3</v>
      </c>
      <c r="D29" s="96"/>
      <c r="E29" s="96"/>
      <c r="F29" s="96"/>
      <c r="G29" s="98">
        <f>-G5</f>
        <v>-25000000</v>
      </c>
      <c r="H29" s="96"/>
      <c r="I29" s="98">
        <f>-G29*(1+(C29*I8/360))</f>
        <v>25047395.833333336</v>
      </c>
      <c r="J29" s="107" t="s">
        <v>93</v>
      </c>
      <c r="K29" s="96"/>
    </row>
    <row r="30" spans="1:11" ht="13.5" thickBot="1" x14ac:dyDescent="0.35">
      <c r="B30" s="96"/>
      <c r="C30" s="99"/>
      <c r="D30" s="99"/>
      <c r="E30" s="96"/>
      <c r="F30" s="96"/>
      <c r="G30" s="99"/>
      <c r="H30" s="107" t="s">
        <v>44</v>
      </c>
      <c r="I30" s="98">
        <f>+I29+I5</f>
        <v>-18958.333333328366</v>
      </c>
      <c r="J30" s="86" t="s">
        <v>46</v>
      </c>
      <c r="K30" s="86"/>
    </row>
    <row r="31" spans="1:11" ht="13" x14ac:dyDescent="0.3">
      <c r="B31" s="96"/>
      <c r="C31" s="96"/>
      <c r="D31" s="100"/>
      <c r="E31" s="112"/>
      <c r="F31" s="113"/>
      <c r="G31" s="114">
        <f>+G4</f>
        <v>44306</v>
      </c>
      <c r="H31" s="108"/>
      <c r="I31" s="99">
        <f>+I4</f>
        <v>44397</v>
      </c>
      <c r="J31" s="102"/>
      <c r="K31" s="102"/>
    </row>
    <row r="32" spans="1:11" ht="13.5" thickBot="1" x14ac:dyDescent="0.35">
      <c r="B32" s="96"/>
      <c r="C32" s="96"/>
      <c r="D32" s="86"/>
      <c r="E32" s="110" t="str">
        <f>IF(G32&lt;0,"L'acheteur paye au vendeur","L'acheteur reçoit du vendeur")</f>
        <v>L'acheteur paye au vendeur</v>
      </c>
      <c r="F32" s="89"/>
      <c r="G32" s="111">
        <f>+I30/(1+(C29*I8/360))</f>
        <v>-18922.459503852311</v>
      </c>
      <c r="H32" s="109" t="s">
        <v>45</v>
      </c>
      <c r="I32" s="86"/>
      <c r="J32" s="96"/>
      <c r="K32" s="96"/>
    </row>
    <row r="33" spans="2:11" ht="13" x14ac:dyDescent="0.3">
      <c r="B33" s="96"/>
      <c r="C33" s="96"/>
      <c r="D33" s="100"/>
      <c r="E33" s="101"/>
      <c r="F33" s="96"/>
      <c r="G33" s="103"/>
      <c r="H33" s="97"/>
      <c r="I33" s="103"/>
      <c r="J33" s="96"/>
      <c r="K33" s="96"/>
    </row>
    <row r="34" spans="2:11" ht="13" x14ac:dyDescent="0.3">
      <c r="B34" s="170" t="str">
        <f>+D24</f>
        <v>HYP 2</v>
      </c>
      <c r="C34" s="101">
        <f>+E24</f>
        <v>1.35E-2</v>
      </c>
      <c r="D34" s="96"/>
      <c r="E34" s="96"/>
      <c r="F34" s="96"/>
      <c r="G34" s="98">
        <f>-G5</f>
        <v>-25000000</v>
      </c>
      <c r="H34" s="96"/>
      <c r="I34" s="98">
        <f>-G34*(1+(C34*I8/360))</f>
        <v>25085312.5</v>
      </c>
      <c r="J34" s="107" t="s">
        <v>93</v>
      </c>
      <c r="K34" s="96"/>
    </row>
    <row r="35" spans="2:11" ht="13.5" thickBot="1" x14ac:dyDescent="0.35">
      <c r="B35" s="96"/>
      <c r="C35" s="99"/>
      <c r="D35" s="99"/>
      <c r="E35" s="96"/>
      <c r="F35" s="96"/>
      <c r="G35" s="99"/>
      <c r="H35" s="107" t="s">
        <v>44</v>
      </c>
      <c r="I35" s="98">
        <f>+I34+I5</f>
        <v>18958.333333335817</v>
      </c>
      <c r="J35" s="86" t="s">
        <v>46</v>
      </c>
      <c r="K35" s="96"/>
    </row>
    <row r="36" spans="2:11" ht="13" x14ac:dyDescent="0.3">
      <c r="B36" s="96"/>
      <c r="C36" s="96"/>
      <c r="D36" s="100"/>
      <c r="E36" s="112"/>
      <c r="F36" s="113"/>
      <c r="G36" s="114">
        <f>+G4</f>
        <v>44306</v>
      </c>
      <c r="H36" s="108"/>
      <c r="I36" s="99">
        <f>+I4</f>
        <v>44397</v>
      </c>
      <c r="J36" s="102"/>
      <c r="K36" s="96"/>
    </row>
    <row r="37" spans="2:11" ht="13.5" thickBot="1" x14ac:dyDescent="0.35">
      <c r="B37" s="96"/>
      <c r="C37" s="96"/>
      <c r="D37" s="86"/>
      <c r="E37" s="110" t="str">
        <f>IF(G37&lt;0,"L'acheteur paye au vendeur","L'acheteur reçoit du vendeur")</f>
        <v>L'acheteur reçoit du vendeur</v>
      </c>
      <c r="F37" s="89"/>
      <c r="G37" s="111">
        <f>+I35/(1+(C34*I8/360))</f>
        <v>18893.858042764881</v>
      </c>
      <c r="H37" s="109" t="s">
        <v>45</v>
      </c>
      <c r="I37" s="86"/>
      <c r="J37" s="96"/>
      <c r="K37" s="96"/>
    </row>
    <row r="38" spans="2:11" x14ac:dyDescent="0.25">
      <c r="B38" s="96"/>
      <c r="C38" s="96"/>
      <c r="D38" s="96"/>
      <c r="E38" s="96"/>
      <c r="F38" s="96"/>
      <c r="G38" s="96"/>
      <c r="H38" s="96"/>
      <c r="I38" s="104"/>
      <c r="J38" s="96"/>
      <c r="K38" s="96"/>
    </row>
    <row r="39" spans="2:11" x14ac:dyDescent="0.25">
      <c r="B39" s="96"/>
      <c r="C39" s="96"/>
      <c r="D39" s="96"/>
      <c r="E39" s="96"/>
      <c r="F39" s="96"/>
      <c r="G39" s="96"/>
      <c r="H39" s="96"/>
      <c r="I39" s="105"/>
      <c r="J39" s="96"/>
      <c r="K39" s="96"/>
    </row>
    <row r="40" spans="2:11" x14ac:dyDescent="0.25">
      <c r="B40" s="96"/>
      <c r="C40" s="96"/>
      <c r="D40" s="96"/>
      <c r="E40" s="96"/>
      <c r="F40" s="96"/>
      <c r="G40" s="96"/>
      <c r="H40" s="96"/>
      <c r="I40" s="105"/>
      <c r="J40" s="96"/>
      <c r="K40" s="96"/>
    </row>
    <row r="41" spans="2:11" ht="13" x14ac:dyDescent="0.3">
      <c r="B41" s="96"/>
      <c r="C41" s="96"/>
      <c r="D41" s="96"/>
      <c r="E41" s="96"/>
      <c r="F41" s="96"/>
      <c r="G41" s="96"/>
      <c r="H41" s="97"/>
      <c r="I41" s="106"/>
      <c r="J41" s="96"/>
      <c r="K41" s="96"/>
    </row>
  </sheetData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Import</vt:lpstr>
      <vt:lpstr>Stratégies comparées</vt:lpstr>
      <vt:lpstr>FWDFWD</vt:lpstr>
      <vt:lpstr>FRA</vt:lpstr>
    </vt:vector>
  </TitlesOfParts>
  <Company>CFM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ciosi</dc:creator>
  <cp:lastModifiedBy>epu</cp:lastModifiedBy>
  <cp:lastPrinted>2016-01-08T08:52:40Z</cp:lastPrinted>
  <dcterms:created xsi:type="dcterms:W3CDTF">2013-01-21T09:09:44Z</dcterms:created>
  <dcterms:modified xsi:type="dcterms:W3CDTF">2021-11-19T10:12:36Z</dcterms:modified>
</cp:coreProperties>
</file>