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Finance de marché\"/>
    </mc:Choice>
  </mc:AlternateContent>
  <xr:revisionPtr revIDLastSave="0" documentId="8_{10A47AC0-0DDE-4CB4-B294-C5FC53ADD9DA}" xr6:coauthVersionLast="47" xr6:coauthVersionMax="47" xr10:uidLastSave="{00000000-0000-0000-0000-000000000000}"/>
  <bookViews>
    <workbookView xWindow="-120" yWindow="-120" windowWidth="24240" windowHeight="13290" xr2:uid="{9A279241-5B8E-4495-8C1C-0A57039F14D9}"/>
  </bookViews>
  <sheets>
    <sheet name="FWDFW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A2" i="4"/>
  <c r="G2" i="4"/>
  <c r="B7" i="4" s="1"/>
  <c r="B24" i="4" s="1"/>
  <c r="I2" i="4"/>
  <c r="A4" i="4"/>
  <c r="B4" i="4"/>
  <c r="D4" i="4"/>
  <c r="G4" i="4"/>
  <c r="G3" i="4" s="1"/>
  <c r="G7" i="4" s="1"/>
  <c r="I4" i="4"/>
  <c r="I3" i="4" s="1"/>
  <c r="J5" i="4" s="1"/>
  <c r="B5" i="4"/>
  <c r="B22" i="4" s="1"/>
  <c r="D5" i="4"/>
  <c r="E5" i="4"/>
  <c r="I5" i="4"/>
  <c r="K5" i="4" s="1"/>
  <c r="I7" i="4" s="1"/>
  <c r="I11" i="4" s="1"/>
  <c r="I12" i="4" s="1"/>
  <c r="I13" i="4" s="1"/>
  <c r="D6" i="4"/>
  <c r="G6" i="4"/>
  <c r="G23" i="4" s="1"/>
  <c r="I6" i="4"/>
  <c r="I23" i="4" s="1"/>
  <c r="D7" i="4"/>
  <c r="E7" i="4"/>
  <c r="G9" i="4"/>
  <c r="I8" i="4" s="1"/>
  <c r="I9" i="4"/>
  <c r="D10" i="4"/>
  <c r="B11" i="4"/>
  <c r="C11" i="4"/>
  <c r="B13" i="4"/>
  <c r="B14" i="4" s="1"/>
  <c r="D13" i="4"/>
  <c r="C14" i="4"/>
  <c r="A15" i="4"/>
  <c r="B15" i="4"/>
  <c r="C15" i="4"/>
  <c r="D15" i="4"/>
  <c r="E15" i="4"/>
  <c r="H8" i="4" s="1"/>
  <c r="B16" i="4"/>
  <c r="C16" i="4"/>
  <c r="F17" i="4"/>
  <c r="G19" i="4"/>
  <c r="I19" i="4"/>
  <c r="G20" i="4"/>
  <c r="I20" i="4"/>
  <c r="D21" i="4"/>
  <c r="G21" i="4"/>
  <c r="I21" i="4"/>
  <c r="J21" i="4"/>
  <c r="K21" i="4"/>
  <c r="E22" i="4"/>
  <c r="D23" i="4"/>
  <c r="D24" i="4"/>
  <c r="D22" i="4" s="1"/>
  <c r="I22" i="4" s="1"/>
  <c r="E24" i="4"/>
  <c r="G24" i="4"/>
  <c r="H25" i="4"/>
  <c r="J25" i="4"/>
  <c r="G26" i="4"/>
  <c r="I26" i="4"/>
  <c r="I25" i="4" s="1"/>
  <c r="J22" i="4" l="1"/>
  <c r="K22" i="4"/>
  <c r="I24" i="4" s="1"/>
  <c r="I28" i="4" s="1"/>
  <c r="I29" i="4" s="1"/>
  <c r="I30" i="4" s="1"/>
  <c r="I31" i="4" s="1"/>
  <c r="I14" i="4"/>
</calcChain>
</file>

<file path=xl/sharedStrings.xml><?xml version="1.0" encoding="utf-8"?>
<sst xmlns="http://schemas.openxmlformats.org/spreadsheetml/2006/main" count="30" uniqueCount="25">
  <si>
    <t>Dates</t>
  </si>
  <si>
    <t>J+2</t>
  </si>
  <si>
    <t>Samedi</t>
  </si>
  <si>
    <t>Vendredi</t>
  </si>
  <si>
    <t>Jeudi</t>
  </si>
  <si>
    <t>Mercredi</t>
  </si>
  <si>
    <t xml:space="preserve"> </t>
  </si>
  <si>
    <t>Mardi</t>
  </si>
  <si>
    <t>Lundi</t>
  </si>
  <si>
    <t>Dimanche</t>
  </si>
  <si>
    <t>Implicit Forward Rate</t>
  </si>
  <si>
    <t>Date</t>
  </si>
  <si>
    <t>Emprunt FwdFwd Cash</t>
  </si>
  <si>
    <t>PV</t>
  </si>
  <si>
    <t>9M</t>
  </si>
  <si>
    <t>FV</t>
  </si>
  <si>
    <t>/</t>
  </si>
  <si>
    <t>6M</t>
  </si>
  <si>
    <t>jours calendaires</t>
  </si>
  <si>
    <t>Future Value</t>
  </si>
  <si>
    <t>Int</t>
  </si>
  <si>
    <t>J</t>
  </si>
  <si>
    <t>Prêt</t>
  </si>
  <si>
    <t>Emprunt</t>
  </si>
  <si>
    <t>FWD/FWD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</si>
</sst>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7" formatCode="_-* #,##0\ _€_-;\-* #,##0\ _€_-;_-* &quot;-&quot;??\ _€_-;_-@_-"/>
    <numFmt numFmtId="168" formatCode="0.0000%"/>
    <numFmt numFmtId="169" formatCode="0.000000%"/>
    <numFmt numFmtId="170" formatCode="_-* #,##0.00000000\ _€_-;\-* #,##0.0000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-0.49998474074526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/>
    </xf>
    <xf numFmtId="0" fontId="1" fillId="0" borderId="0" xfId="1" quotePrefix="1"/>
    <xf numFmtId="0" fontId="3" fillId="0" borderId="0" xfId="1" applyFont="1" applyAlignment="1">
      <alignment horizontal="center"/>
    </xf>
    <xf numFmtId="168" fontId="3" fillId="0" borderId="9" xfId="3" applyNumberFormat="1" applyFont="1" applyBorder="1"/>
    <xf numFmtId="0" fontId="3" fillId="0" borderId="10" xfId="1" applyFont="1" applyBorder="1"/>
    <xf numFmtId="169" fontId="0" fillId="0" borderId="0" xfId="3" applyNumberFormat="1" applyFont="1"/>
    <xf numFmtId="170" fontId="1" fillId="0" borderId="0" xfId="1" applyNumberFormat="1"/>
    <xf numFmtId="14" fontId="3" fillId="0" borderId="1" xfId="1" applyNumberFormat="1" applyFont="1" applyBorder="1"/>
    <xf numFmtId="0" fontId="3" fillId="0" borderId="2" xfId="1" applyFont="1" applyBorder="1"/>
    <xf numFmtId="14" fontId="3" fillId="0" borderId="3" xfId="1" applyNumberFormat="1" applyFont="1" applyBorder="1"/>
    <xf numFmtId="167" fontId="3" fillId="0" borderId="4" xfId="2" applyNumberFormat="1" applyFont="1" applyBorder="1"/>
    <xf numFmtId="0" fontId="3" fillId="0" borderId="5" xfId="1" applyFont="1" applyBorder="1"/>
    <xf numFmtId="164" fontId="0" fillId="0" borderId="0" xfId="2" applyFont="1"/>
    <xf numFmtId="164" fontId="3" fillId="0" borderId="6" xfId="1" applyNumberFormat="1" applyFont="1" applyBorder="1"/>
    <xf numFmtId="0" fontId="3" fillId="0" borderId="7" xfId="1" applyFont="1" applyBorder="1"/>
    <xf numFmtId="164" fontId="3" fillId="0" borderId="8" xfId="1" applyNumberFormat="1" applyFont="1" applyBorder="1"/>
    <xf numFmtId="10" fontId="1" fillId="0" borderId="0" xfId="1" applyNumberFormat="1"/>
    <xf numFmtId="164" fontId="1" fillId="0" borderId="0" xfId="1" applyNumberFormat="1"/>
    <xf numFmtId="14" fontId="1" fillId="0" borderId="0" xfId="1" applyNumberFormat="1"/>
    <xf numFmtId="167" fontId="0" fillId="0" borderId="0" xfId="2" applyNumberFormat="1" applyFont="1"/>
    <xf numFmtId="0" fontId="2" fillId="2" borderId="1" xfId="1" applyFont="1" applyFill="1" applyBorder="1" applyAlignment="1">
      <alignment horizontal="center"/>
    </xf>
    <xf numFmtId="14" fontId="2" fillId="2" borderId="2" xfId="1" applyNumberFormat="1" applyFont="1" applyFill="1" applyBorder="1"/>
    <xf numFmtId="0" fontId="2" fillId="2" borderId="2" xfId="1" applyFont="1" applyFill="1" applyBorder="1"/>
    <xf numFmtId="167" fontId="2" fillId="2" borderId="2" xfId="2" applyNumberFormat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2" fillId="2" borderId="0" xfId="1" applyFont="1" applyFill="1"/>
    <xf numFmtId="167" fontId="2" fillId="2" borderId="0" xfId="2" applyNumberFormat="1" applyFont="1" applyFill="1" applyBorder="1"/>
    <xf numFmtId="0" fontId="2" fillId="2" borderId="5" xfId="1" applyFont="1" applyFill="1" applyBorder="1"/>
    <xf numFmtId="168" fontId="3" fillId="0" borderId="0" xfId="3" applyNumberFormat="1" applyFont="1" applyBorder="1"/>
    <xf numFmtId="0" fontId="3" fillId="0" borderId="0" xfId="1" applyFont="1"/>
    <xf numFmtId="14" fontId="2" fillId="2" borderId="0" xfId="1" applyNumberFormat="1" applyFont="1" applyFill="1"/>
    <xf numFmtId="14" fontId="2" fillId="2" borderId="0" xfId="2" applyNumberFormat="1" applyFont="1" applyFill="1" applyBorder="1"/>
    <xf numFmtId="10" fontId="2" fillId="2" borderId="0" xfId="1" applyNumberFormat="1" applyFont="1" applyFill="1"/>
    <xf numFmtId="14" fontId="3" fillId="0" borderId="2" xfId="1" applyNumberFormat="1" applyFont="1" applyBorder="1"/>
    <xf numFmtId="0" fontId="2" fillId="2" borderId="6" xfId="1" applyFont="1" applyFill="1" applyBorder="1"/>
    <xf numFmtId="0" fontId="2" fillId="2" borderId="7" xfId="1" quotePrefix="1" applyFont="1" applyFill="1" applyBorder="1"/>
    <xf numFmtId="0" fontId="2" fillId="2" borderId="7" xfId="1" applyFont="1" applyFill="1" applyBorder="1"/>
    <xf numFmtId="10" fontId="2" fillId="2" borderId="7" xfId="1" applyNumberFormat="1" applyFont="1" applyFill="1" applyBorder="1"/>
    <xf numFmtId="0" fontId="2" fillId="2" borderId="8" xfId="1" applyFont="1" applyFill="1" applyBorder="1"/>
    <xf numFmtId="164" fontId="3" fillId="0" borderId="0" xfId="1" applyNumberFormat="1" applyFont="1"/>
    <xf numFmtId="164" fontId="1" fillId="0" borderId="0" xfId="2" applyFont="1"/>
    <xf numFmtId="167" fontId="1" fillId="0" borderId="0" xfId="1" applyNumberFormat="1"/>
  </cellXfs>
  <cellStyles count="4">
    <cellStyle name="Milliers 2" xfId="2" xr:uid="{9B511F7E-6B3E-4A33-9B11-936DA645E0AA}"/>
    <cellStyle name="Normal" xfId="0" builtinId="0"/>
    <cellStyle name="Normal 2" xfId="1" xr:uid="{DC2EF6D3-4C27-4FDC-A7E6-52920E320558}"/>
    <cellStyle name="Pourcentage 2" xfId="3" xr:uid="{9CCCE461-D4B9-4A94-A73D-E0E837AB9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230E-9FDB-4D46-A9F1-83F3A73C174A}">
  <sheetPr>
    <pageSetUpPr fitToPage="1"/>
  </sheetPr>
  <dimension ref="A1:Q31"/>
  <sheetViews>
    <sheetView tabSelected="1" topLeftCell="C2" zoomScaleNormal="100" workbookViewId="0">
      <selection activeCell="J30" sqref="J30"/>
    </sheetView>
  </sheetViews>
  <sheetFormatPr baseColWidth="10" defaultColWidth="9.140625" defaultRowHeight="12.75" x14ac:dyDescent="0.2"/>
  <cols>
    <col min="1" max="1" width="22.140625" style="1" bestFit="1" customWidth="1"/>
    <col min="2" max="2" width="14.140625" style="1" bestFit="1" customWidth="1"/>
    <col min="3" max="3" width="13.140625" style="1" bestFit="1" customWidth="1"/>
    <col min="4" max="4" width="15.42578125" style="1" bestFit="1" customWidth="1"/>
    <col min="5" max="6" width="11.42578125" style="1" customWidth="1"/>
    <col min="7" max="7" width="15.42578125" style="1" bestFit="1" customWidth="1"/>
    <col min="8" max="8" width="20.7109375" style="1" bestFit="1" customWidth="1"/>
    <col min="9" max="9" width="15.42578125" style="1" bestFit="1" customWidth="1"/>
    <col min="10" max="10" width="15" style="1" bestFit="1" customWidth="1"/>
    <col min="11" max="11" width="15.42578125" style="1" bestFit="1" customWidth="1"/>
    <col min="12" max="256" width="11.42578125" style="1" customWidth="1"/>
    <col min="257" max="16384" width="9.140625" style="1"/>
  </cols>
  <sheetData>
    <row r="1" spans="1:17" x14ac:dyDescent="0.2">
      <c r="A1" s="1" t="str">
        <f>+A17</f>
        <v>Emprunt FwdFwd Cash</v>
      </c>
      <c r="B1" s="45">
        <f>-C17</f>
        <v>-25000000</v>
      </c>
      <c r="H1" s="5" t="s">
        <v>24</v>
      </c>
      <c r="M1" s="4" t="s">
        <v>16</v>
      </c>
      <c r="N1" s="1" t="s">
        <v>23</v>
      </c>
      <c r="P1" s="1">
        <v>1</v>
      </c>
      <c r="Q1" s="1" t="s">
        <v>9</v>
      </c>
    </row>
    <row r="2" spans="1:17" x14ac:dyDescent="0.2">
      <c r="A2" s="2" t="str">
        <f>+A9&amp;M2&amp;M1&amp;M2&amp;A12</f>
        <v>6M / 9M</v>
      </c>
      <c r="G2" s="5" t="str">
        <f>+A9</f>
        <v>6M</v>
      </c>
      <c r="I2" s="5" t="str">
        <f>+A12</f>
        <v>9M</v>
      </c>
      <c r="M2" s="1" t="s">
        <v>6</v>
      </c>
      <c r="N2" s="1" t="s">
        <v>22</v>
      </c>
      <c r="P2" s="1">
        <v>2</v>
      </c>
      <c r="Q2" s="1" t="s">
        <v>8</v>
      </c>
    </row>
    <row r="3" spans="1:17" ht="15" x14ac:dyDescent="0.25">
      <c r="B3" s="1" t="s">
        <v>21</v>
      </c>
      <c r="D3" s="1" t="s">
        <v>1</v>
      </c>
      <c r="G3" s="22">
        <f>+G4-D4</f>
        <v>182</v>
      </c>
      <c r="I3" s="22">
        <f>+I4-D4</f>
        <v>273</v>
      </c>
      <c r="N3" s="1" t="s">
        <v>6</v>
      </c>
      <c r="P3" s="1">
        <v>3</v>
      </c>
      <c r="Q3" s="1" t="s">
        <v>7</v>
      </c>
    </row>
    <row r="4" spans="1:17" x14ac:dyDescent="0.2">
      <c r="A4" s="1" t="str">
        <f>+D17</f>
        <v>Date</v>
      </c>
      <c r="B4" s="21">
        <f>+E17</f>
        <v>44120</v>
      </c>
      <c r="C4" s="21"/>
      <c r="D4" s="21">
        <f>+B10</f>
        <v>44124</v>
      </c>
      <c r="G4" s="21">
        <f>+C10</f>
        <v>44306</v>
      </c>
      <c r="I4" s="21">
        <f>+C13</f>
        <v>44397</v>
      </c>
      <c r="J4" s="5" t="s">
        <v>20</v>
      </c>
      <c r="K4" s="5" t="s">
        <v>19</v>
      </c>
      <c r="P4" s="1">
        <v>4</v>
      </c>
      <c r="Q4" s="1" t="s">
        <v>5</v>
      </c>
    </row>
    <row r="5" spans="1:17" x14ac:dyDescent="0.2">
      <c r="B5" s="1" t="str">
        <f>N1&amp;N3&amp;I2</f>
        <v>Emprunt 9M</v>
      </c>
      <c r="D5" s="44">
        <f>+C17</f>
        <v>25000000</v>
      </c>
      <c r="E5" s="19">
        <f>+C12</f>
        <v>8.9999999999999993E-3</v>
      </c>
      <c r="I5" s="20">
        <f>-D5</f>
        <v>-25000000</v>
      </c>
      <c r="J5" s="20">
        <f>+I5*E5*I3/360</f>
        <v>-170624.99999999997</v>
      </c>
      <c r="K5" s="43">
        <f>+I5+J5</f>
        <v>-25170625</v>
      </c>
      <c r="P5" s="1">
        <v>5</v>
      </c>
      <c r="Q5" s="1" t="s">
        <v>4</v>
      </c>
    </row>
    <row r="6" spans="1:17" ht="13.5" thickBot="1" x14ac:dyDescent="0.25">
      <c r="D6" s="5" t="str">
        <f>+E12</f>
        <v>PV</v>
      </c>
      <c r="G6" s="5" t="str">
        <f>+E10&amp;A9</f>
        <v>FV6M</v>
      </c>
      <c r="I6" s="5" t="str">
        <f>+E10&amp;A12</f>
        <v>FV9M</v>
      </c>
      <c r="P6" s="1">
        <v>6</v>
      </c>
      <c r="Q6" s="1" t="s">
        <v>3</v>
      </c>
    </row>
    <row r="7" spans="1:17" ht="15" x14ac:dyDescent="0.25">
      <c r="B7" s="1" t="str">
        <f>N2&amp;N3&amp;G2</f>
        <v>Prêt 6M</v>
      </c>
      <c r="D7" s="15">
        <f>-D5</f>
        <v>-25000000</v>
      </c>
      <c r="E7" s="19">
        <f>+B9</f>
        <v>8.0000000000000002E-3</v>
      </c>
      <c r="G7" s="18">
        <f>-D7*(1+(E7*G3/360))</f>
        <v>25101111.111111112</v>
      </c>
      <c r="H7" s="17"/>
      <c r="I7" s="16">
        <f>+K5</f>
        <v>-25170625</v>
      </c>
      <c r="P7" s="1">
        <v>7</v>
      </c>
      <c r="Q7" s="1" t="s">
        <v>2</v>
      </c>
    </row>
    <row r="8" spans="1:17" ht="15.75" thickBot="1" x14ac:dyDescent="0.3">
      <c r="D8" s="15"/>
      <c r="G8" s="14"/>
      <c r="H8" s="5" t="str">
        <f>+E15</f>
        <v>6M/9M</v>
      </c>
      <c r="I8" s="13">
        <f>+I9-G9</f>
        <v>91</v>
      </c>
      <c r="J8" s="1" t="s">
        <v>18</v>
      </c>
    </row>
    <row r="9" spans="1:17" ht="13.5" thickBot="1" x14ac:dyDescent="0.25">
      <c r="A9" s="42" t="s">
        <v>17</v>
      </c>
      <c r="B9" s="41">
        <v>8.0000000000000002E-3</v>
      </c>
      <c r="C9" s="41">
        <v>8.5000000000000006E-3</v>
      </c>
      <c r="D9" s="40"/>
      <c r="E9" s="39" t="s">
        <v>16</v>
      </c>
      <c r="F9" s="38"/>
      <c r="G9" s="37">
        <f>+C10</f>
        <v>44306</v>
      </c>
      <c r="H9" s="11"/>
      <c r="I9" s="10">
        <f>+C13</f>
        <v>44397</v>
      </c>
    </row>
    <row r="10" spans="1:17" x14ac:dyDescent="0.2">
      <c r="A10" s="31" t="s">
        <v>0</v>
      </c>
      <c r="B10" s="35">
        <v>44124</v>
      </c>
      <c r="C10" s="34">
        <v>44306</v>
      </c>
      <c r="D10" s="30">
        <f>+C10-B10</f>
        <v>182</v>
      </c>
      <c r="E10" s="29" t="s">
        <v>15</v>
      </c>
      <c r="F10" s="28"/>
    </row>
    <row r="11" spans="1:17" x14ac:dyDescent="0.2">
      <c r="A11" s="31"/>
      <c r="B11" s="3" t="str">
        <f>VLOOKUP(WEEKDAY(B10,1),$P$1:$Q$7,2)</f>
        <v>Mardi</v>
      </c>
      <c r="C11" s="3" t="str">
        <f>VLOOKUP(WEEKDAY(C10,1),$P$1:$Q$7,2)</f>
        <v>Mardi</v>
      </c>
      <c r="D11" s="30"/>
      <c r="E11" s="29"/>
      <c r="F11" s="28"/>
      <c r="I11" s="9">
        <f>-I7/G7</f>
        <v>1.0027693550528971</v>
      </c>
    </row>
    <row r="12" spans="1:17" x14ac:dyDescent="0.2">
      <c r="A12" s="31" t="s">
        <v>14</v>
      </c>
      <c r="B12" s="36">
        <v>8.5000000000000006E-3</v>
      </c>
      <c r="C12" s="36">
        <v>8.9999999999999993E-3</v>
      </c>
      <c r="D12" s="29"/>
      <c r="E12" s="29" t="s">
        <v>13</v>
      </c>
      <c r="F12" s="28"/>
      <c r="I12" s="9">
        <f>+I11-1</f>
        <v>2.7693550528971045E-3</v>
      </c>
    </row>
    <row r="13" spans="1:17" ht="15.75" thickBot="1" x14ac:dyDescent="0.3">
      <c r="A13" s="31" t="s">
        <v>0</v>
      </c>
      <c r="B13" s="35">
        <f>+B10</f>
        <v>44124</v>
      </c>
      <c r="C13" s="34">
        <v>44397</v>
      </c>
      <c r="D13" s="30">
        <f>+C13-B13</f>
        <v>273</v>
      </c>
      <c r="E13" s="29"/>
      <c r="F13" s="28"/>
      <c r="I13" s="8">
        <f>+I12</f>
        <v>2.7693550528971045E-3</v>
      </c>
    </row>
    <row r="14" spans="1:17" ht="13.5" thickBot="1" x14ac:dyDescent="0.25">
      <c r="A14" s="31"/>
      <c r="B14" s="3" t="str">
        <f>VLOOKUP(WEEKDAY(B13,1),$P$1:$Q$7,2)</f>
        <v>Mardi</v>
      </c>
      <c r="C14" s="3" t="str">
        <f>VLOOKUP(WEEKDAY(C13,1),$P$1:$Q$7,2)</f>
        <v>Mardi</v>
      </c>
      <c r="D14" s="30"/>
      <c r="E14" s="29"/>
      <c r="F14" s="28"/>
      <c r="H14" s="7" t="s">
        <v>10</v>
      </c>
      <c r="I14" s="6">
        <f>+I13/I8*360</f>
        <v>1.095569031915338E-2</v>
      </c>
    </row>
    <row r="15" spans="1:17" x14ac:dyDescent="0.2">
      <c r="A15" s="31" t="str">
        <f>H1&amp;M2&amp;A2</f>
        <v>FWD/FWD 6M / 9M</v>
      </c>
      <c r="B15" s="34">
        <f>+C10</f>
        <v>44306</v>
      </c>
      <c r="C15" s="34">
        <f>+C13</f>
        <v>44397</v>
      </c>
      <c r="D15" s="30">
        <f>+C15-B15</f>
        <v>91</v>
      </c>
      <c r="E15" s="29" t="str">
        <f>+A9&amp;E9&amp;A12</f>
        <v>6M/9M</v>
      </c>
      <c r="F15" s="28"/>
      <c r="H15" s="33"/>
      <c r="I15" s="32"/>
    </row>
    <row r="16" spans="1:17" x14ac:dyDescent="0.2">
      <c r="A16" s="31"/>
      <c r="B16" s="3" t="str">
        <f>VLOOKUP(WEEKDAY(B15,1),$P$1:$Q$7,2)</f>
        <v>Mardi</v>
      </c>
      <c r="C16" s="3" t="str">
        <f>VLOOKUP(WEEKDAY(C15,1),$P$1:$Q$7,2)</f>
        <v>Mardi</v>
      </c>
      <c r="D16" s="30"/>
      <c r="E16" s="29"/>
      <c r="F16" s="28"/>
    </row>
    <row r="17" spans="1:11" ht="13.5" thickBot="1" x14ac:dyDescent="0.25">
      <c r="A17" s="27" t="s">
        <v>12</v>
      </c>
      <c r="B17" s="25"/>
      <c r="C17" s="26">
        <v>25000000</v>
      </c>
      <c r="D17" s="25" t="s">
        <v>11</v>
      </c>
      <c r="E17" s="24">
        <v>44120</v>
      </c>
      <c r="F17" s="23" t="str">
        <f>VLOOKUP(WEEKDAY(E17,1),$P$1:$Q$7,2)</f>
        <v>Vendredi</v>
      </c>
    </row>
    <row r="19" spans="1:11" x14ac:dyDescent="0.2">
      <c r="G19" s="5" t="str">
        <f>+A9</f>
        <v>6M</v>
      </c>
      <c r="I19" s="5" t="str">
        <f>+A12</f>
        <v>9M</v>
      </c>
    </row>
    <row r="20" spans="1:11" ht="15" x14ac:dyDescent="0.25">
      <c r="D20" s="1" t="s">
        <v>1</v>
      </c>
      <c r="G20" s="22">
        <f>+G21-D21</f>
        <v>182</v>
      </c>
      <c r="I20" s="22">
        <f>+I21-D21</f>
        <v>273</v>
      </c>
    </row>
    <row r="21" spans="1:11" x14ac:dyDescent="0.2">
      <c r="C21" s="21"/>
      <c r="D21" s="21">
        <f>+B10</f>
        <v>44124</v>
      </c>
      <c r="G21" s="21">
        <f>+C10</f>
        <v>44306</v>
      </c>
      <c r="I21" s="21">
        <f>+C13</f>
        <v>44397</v>
      </c>
      <c r="J21" s="5" t="str">
        <f>+J4</f>
        <v>Int</v>
      </c>
      <c r="K21" s="5" t="str">
        <f>+K4</f>
        <v>Future Value</v>
      </c>
    </row>
    <row r="22" spans="1:11" ht="15" x14ac:dyDescent="0.25">
      <c r="B22" s="1" t="str">
        <f>+B5</f>
        <v>Emprunt 9M</v>
      </c>
      <c r="D22" s="15">
        <f>+D24</f>
        <v>24899296.179894645</v>
      </c>
      <c r="E22" s="19">
        <f>+C12</f>
        <v>8.9999999999999993E-3</v>
      </c>
      <c r="F22" s="19"/>
      <c r="G22" s="20"/>
      <c r="I22" s="20">
        <f>-D22</f>
        <v>-24899296.179894645</v>
      </c>
      <c r="J22" s="20">
        <f>+I22*E22*I20/360</f>
        <v>-169937.69642778093</v>
      </c>
      <c r="K22" s="20">
        <f>+I22+J22</f>
        <v>-25069233.876322426</v>
      </c>
    </row>
    <row r="23" spans="1:11" ht="13.5" thickBot="1" x14ac:dyDescent="0.25">
      <c r="D23" s="5" t="str">
        <f>+E12</f>
        <v>PV</v>
      </c>
      <c r="G23" s="5" t="str">
        <f>+G6</f>
        <v>FV6M</v>
      </c>
      <c r="I23" s="5" t="str">
        <f>+I6</f>
        <v>FV9M</v>
      </c>
    </row>
    <row r="24" spans="1:11" ht="15" x14ac:dyDescent="0.25">
      <c r="B24" s="1" t="str">
        <f>+B7</f>
        <v>Prêt 6M</v>
      </c>
      <c r="D24" s="15">
        <f>+G24/(1+(E24*G20/360))</f>
        <v>24899296.179894645</v>
      </c>
      <c r="E24" s="19">
        <f>+B9</f>
        <v>8.0000000000000002E-3</v>
      </c>
      <c r="G24" s="18">
        <f>+C17</f>
        <v>25000000</v>
      </c>
      <c r="H24" s="17"/>
      <c r="I24" s="16">
        <f>+K22</f>
        <v>-25069233.876322426</v>
      </c>
    </row>
    <row r="25" spans="1:11" ht="15" x14ac:dyDescent="0.25">
      <c r="D25" s="15"/>
      <c r="G25" s="14"/>
      <c r="H25" s="5" t="str">
        <f>+E15</f>
        <v>6M/9M</v>
      </c>
      <c r="I25" s="13">
        <f>+I26-G26</f>
        <v>91</v>
      </c>
      <c r="J25" s="1" t="str">
        <f>+J8</f>
        <v>jours calendaires</v>
      </c>
    </row>
    <row r="26" spans="1:11" ht="13.5" thickBot="1" x14ac:dyDescent="0.25">
      <c r="G26" s="12">
        <f>+B15</f>
        <v>44306</v>
      </c>
      <c r="H26" s="11"/>
      <c r="I26" s="10">
        <f>+C15</f>
        <v>44397</v>
      </c>
    </row>
    <row r="28" spans="1:11" x14ac:dyDescent="0.2">
      <c r="I28" s="9">
        <f>-I24/G24</f>
        <v>1.0027693550528971</v>
      </c>
    </row>
    <row r="29" spans="1:11" x14ac:dyDescent="0.2">
      <c r="I29" s="9">
        <f>+I28-1</f>
        <v>2.7693550528971045E-3</v>
      </c>
    </row>
    <row r="30" spans="1:11" ht="15.75" thickBot="1" x14ac:dyDescent="0.3">
      <c r="I30" s="8">
        <f>+I29</f>
        <v>2.7693550528971045E-3</v>
      </c>
    </row>
    <row r="31" spans="1:11" ht="13.5" thickBot="1" x14ac:dyDescent="0.25">
      <c r="H31" s="7" t="s">
        <v>10</v>
      </c>
      <c r="I31" s="6">
        <f>+I30/I25*360</f>
        <v>1.095569031915338E-2</v>
      </c>
    </row>
  </sheetData>
  <pageMargins left="0.78740157480314965" right="0.78740157480314965" top="0.98425196850393704" bottom="0.98425196850393704" header="0.51181102362204722" footer="0.51181102362204722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FWDFWD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2021-12-19T14:27:46Z</dcterms:created>
  <dcterms:modified xsi:type="dcterms:W3CDTF">2021-12-19T14:37:03Z</dcterms:modified>
</cp:coreProperties>
</file>