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F7D54B13-0152-476C-B120-F9B05FB04F2A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FWDFWD" sheetId="2" r:id="rId1"/>
    <sheet name="FRA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5" l="1"/>
  <c r="I11" i="2"/>
  <c r="I14" i="2"/>
  <c r="I13" i="2"/>
  <c r="I12" i="2"/>
  <c r="C34" i="5"/>
  <c r="B34" i="5"/>
  <c r="B29" i="5"/>
  <c r="C29" i="5"/>
  <c r="D27" i="5"/>
  <c r="E27" i="5"/>
  <c r="B4" i="5"/>
  <c r="B23" i="5"/>
  <c r="B1" i="2"/>
  <c r="C21" i="5" s="1"/>
  <c r="A16" i="5"/>
  <c r="I2" i="5" s="1"/>
  <c r="A13" i="5"/>
  <c r="G2" i="5" s="1"/>
  <c r="J25" i="2"/>
  <c r="I19" i="2"/>
  <c r="G19" i="2"/>
  <c r="I2" i="2"/>
  <c r="B5" i="2" s="1"/>
  <c r="B22" i="2" s="1"/>
  <c r="G2" i="2"/>
  <c r="B7" i="2" s="1"/>
  <c r="B24" i="2" s="1"/>
  <c r="A2" i="2"/>
  <c r="A2" i="5" s="1"/>
  <c r="B2" i="5" s="1"/>
  <c r="A21" i="5" s="1"/>
  <c r="B5" i="5" s="1"/>
  <c r="A1" i="2"/>
  <c r="A15" i="2" l="1"/>
  <c r="E19" i="5"/>
  <c r="A19" i="5" s="1"/>
  <c r="C14" i="2"/>
  <c r="C18" i="5" s="1"/>
  <c r="C20" i="5" s="1"/>
  <c r="C11" i="2"/>
  <c r="C15" i="5" s="1"/>
  <c r="B20" i="5" s="1"/>
  <c r="B11" i="2"/>
  <c r="B15" i="5" s="1"/>
  <c r="B4" i="2"/>
  <c r="F17" i="2"/>
  <c r="C15" i="2" l="1"/>
  <c r="C16" i="2" s="1"/>
  <c r="A4" i="2"/>
  <c r="B13" i="2" l="1"/>
  <c r="C17" i="5"/>
  <c r="I9" i="5" s="1"/>
  <c r="C14" i="5"/>
  <c r="G9" i="5" s="1"/>
  <c r="B14" i="5"/>
  <c r="I21" i="2"/>
  <c r="D21" i="2"/>
  <c r="I10" i="5"/>
  <c r="H8" i="5"/>
  <c r="I6" i="5"/>
  <c r="G6" i="5"/>
  <c r="D6" i="5"/>
  <c r="D6" i="2"/>
  <c r="K21" i="2"/>
  <c r="J21" i="2"/>
  <c r="D23" i="2"/>
  <c r="I6" i="2"/>
  <c r="I23" i="2" s="1"/>
  <c r="G6" i="2"/>
  <c r="G23" i="2" s="1"/>
  <c r="E15" i="2"/>
  <c r="H25" i="2" s="1"/>
  <c r="E22" i="2"/>
  <c r="E24" i="2"/>
  <c r="G24" i="2"/>
  <c r="G21" i="2"/>
  <c r="E7" i="2"/>
  <c r="E5" i="2"/>
  <c r="D5" i="2"/>
  <c r="D7" i="2" s="1"/>
  <c r="I26" i="2"/>
  <c r="B15" i="2"/>
  <c r="B16" i="2" s="1"/>
  <c r="I9" i="2"/>
  <c r="G9" i="2"/>
  <c r="I4" i="2"/>
  <c r="G4" i="2"/>
  <c r="D10" i="2"/>
  <c r="D4" i="2"/>
  <c r="B17" i="5" l="1"/>
  <c r="D17" i="5" s="1"/>
  <c r="B14" i="2"/>
  <c r="B18" i="5" s="1"/>
  <c r="G26" i="2"/>
  <c r="I25" i="2" s="1"/>
  <c r="D15" i="2"/>
  <c r="I3" i="2"/>
  <c r="H8" i="2"/>
  <c r="G4" i="5"/>
  <c r="G36" i="5" s="1"/>
  <c r="G3" i="2"/>
  <c r="G7" i="2" s="1"/>
  <c r="G34" i="5"/>
  <c r="G29" i="5"/>
  <c r="I5" i="2"/>
  <c r="I4" i="5"/>
  <c r="I36" i="5" s="1"/>
  <c r="C19" i="5"/>
  <c r="I8" i="5"/>
  <c r="I8" i="2"/>
  <c r="B19" i="5"/>
  <c r="G20" i="2"/>
  <c r="D24" i="2" s="1"/>
  <c r="D22" i="2" s="1"/>
  <c r="I22" i="2" s="1"/>
  <c r="D14" i="5"/>
  <c r="I20" i="2"/>
  <c r="D13" i="2"/>
  <c r="D4" i="5"/>
  <c r="I34" i="5" l="1"/>
  <c r="I35" i="5" s="1"/>
  <c r="G37" i="5" s="1"/>
  <c r="D19" i="5"/>
  <c r="G27" i="5"/>
  <c r="I31" i="5"/>
  <c r="G31" i="5"/>
  <c r="J5" i="2"/>
  <c r="K5" i="2" s="1"/>
  <c r="I7" i="2" s="1"/>
  <c r="I5" i="5"/>
  <c r="I29" i="5"/>
  <c r="J22" i="2"/>
  <c r="K22" i="2" s="1"/>
  <c r="I24" i="2" s="1"/>
  <c r="I28" i="2" s="1"/>
  <c r="I29" i="2" s="1"/>
  <c r="I30" i="2" s="1"/>
  <c r="I31" i="2" s="1"/>
  <c r="I3" i="5"/>
  <c r="G3" i="5"/>
  <c r="E37" i="5" l="1"/>
  <c r="I30" i="5"/>
  <c r="G32" i="5" l="1"/>
  <c r="E32" i="5" s="1"/>
</calcChain>
</file>

<file path=xl/sharedStrings.xml><?xml version="1.0" encoding="utf-8"?>
<sst xmlns="http://schemas.openxmlformats.org/spreadsheetml/2006/main" count="67" uniqueCount="40">
  <si>
    <t xml:space="preserve"> </t>
  </si>
  <si>
    <t>J+2</t>
  </si>
  <si>
    <t>Dates</t>
  </si>
  <si>
    <t>6M</t>
  </si>
  <si>
    <t>/</t>
  </si>
  <si>
    <t>Implicit Forward Rate</t>
  </si>
  <si>
    <t>Int</t>
  </si>
  <si>
    <t>Future Value</t>
  </si>
  <si>
    <t>FV</t>
  </si>
  <si>
    <t>PV</t>
  </si>
  <si>
    <t>Emprunt FwdFwd Cash</t>
  </si>
  <si>
    <t>FRA</t>
  </si>
  <si>
    <t>HYP 1</t>
  </si>
  <si>
    <t>HYP2</t>
  </si>
  <si>
    <t>Différentiel In Fine</t>
  </si>
  <si>
    <t>Différentiel actualisé</t>
  </si>
  <si>
    <t>Netting</t>
  </si>
  <si>
    <t>Date</t>
  </si>
  <si>
    <t>Dimanche</t>
  </si>
  <si>
    <t>Lundi</t>
  </si>
  <si>
    <t>Mardi</t>
  </si>
  <si>
    <t>Mercredi</t>
  </si>
  <si>
    <t>Jeudi</t>
  </si>
  <si>
    <t>Vendredi</t>
  </si>
  <si>
    <t>Samedi</t>
  </si>
  <si>
    <t>BID</t>
  </si>
  <si>
    <t>ASK</t>
  </si>
  <si>
    <t>J</t>
  </si>
  <si>
    <t>9M</t>
  </si>
  <si>
    <t>FWD/FWD</t>
  </si>
  <si>
    <t>jours calendaires</t>
  </si>
  <si>
    <t>LONG FRA</t>
  </si>
  <si>
    <t>ACHAT FRA</t>
  </si>
  <si>
    <t>Fixing Date</t>
  </si>
  <si>
    <t>FRA RATE</t>
  </si>
  <si>
    <t>Value</t>
  </si>
  <si>
    <t>HYP 2</t>
  </si>
  <si>
    <t>Flux virtuels</t>
  </si>
  <si>
    <t>Emprunt</t>
  </si>
  <si>
    <t>Prêt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</si>
</sst>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7" formatCode="0.0000%"/>
    <numFmt numFmtId="168" formatCode="_-* #,##0\ _€_-;\-* #,##0\ _€_-;_-* &quot;-&quot;??\ _€_-;_-@_-"/>
    <numFmt numFmtId="169" formatCode="_-* #,##0.00000000\ _€_-;\-* #,##0.00000000\ _€_-;_-* &quot;-&quot;??\ _€_-;_-@_-"/>
    <numFmt numFmtId="170" formatCode="0.000000%"/>
  </numFmts>
  <fonts count="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3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0" applyFont="1"/>
    <xf numFmtId="168" fontId="0" fillId="0" borderId="0" xfId="1" applyNumberFormat="1" applyFont="1"/>
    <xf numFmtId="14" fontId="0" fillId="0" borderId="0" xfId="0" applyNumberFormat="1"/>
    <xf numFmtId="164" fontId="0" fillId="0" borderId="0" xfId="1" applyFont="1"/>
    <xf numFmtId="10" fontId="0" fillId="0" borderId="0" xfId="0" applyNumberFormat="1"/>
    <xf numFmtId="164" fontId="0" fillId="0" borderId="0" xfId="0" applyNumberFormat="1"/>
    <xf numFmtId="169" fontId="0" fillId="0" borderId="0" xfId="0" applyNumberFormat="1"/>
    <xf numFmtId="170" fontId="0" fillId="0" borderId="0" xfId="2" applyNumberFormat="1" applyFont="1"/>
    <xf numFmtId="0" fontId="5" fillId="2" borderId="0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10" fontId="5" fillId="2" borderId="2" xfId="0" applyNumberFormat="1" applyFont="1" applyFill="1" applyBorder="1"/>
    <xf numFmtId="10" fontId="5" fillId="2" borderId="0" xfId="0" applyNumberFormat="1" applyFont="1" applyFill="1" applyBorder="1"/>
    <xf numFmtId="14" fontId="5" fillId="2" borderId="0" xfId="0" applyNumberFormat="1" applyFont="1" applyFill="1" applyBorder="1"/>
    <xf numFmtId="14" fontId="5" fillId="2" borderId="0" xfId="1" applyNumberFormat="1" applyFont="1" applyFill="1" applyBorder="1"/>
    <xf numFmtId="168" fontId="5" fillId="2" borderId="0" xfId="1" applyNumberFormat="1" applyFont="1" applyFill="1" applyBorder="1"/>
    <xf numFmtId="168" fontId="5" fillId="2" borderId="7" xfId="1" applyNumberFormat="1" applyFont="1" applyFill="1" applyBorder="1"/>
    <xf numFmtId="0" fontId="5" fillId="2" borderId="2" xfId="0" quotePrefix="1" applyFont="1" applyFill="1" applyBorder="1"/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3" fillId="0" borderId="0" xfId="1" applyFont="1"/>
    <xf numFmtId="164" fontId="4" fillId="0" borderId="1" xfId="0" applyNumberFormat="1" applyFont="1" applyBorder="1"/>
    <xf numFmtId="0" fontId="4" fillId="0" borderId="2" xfId="0" applyFont="1" applyBorder="1"/>
    <xf numFmtId="164" fontId="4" fillId="0" borderId="3" xfId="0" applyNumberFormat="1" applyFont="1" applyBorder="1"/>
    <xf numFmtId="0" fontId="4" fillId="0" borderId="4" xfId="0" applyFont="1" applyBorder="1"/>
    <xf numFmtId="0" fontId="4" fillId="0" borderId="0" xfId="0" applyFont="1" applyBorder="1" applyAlignment="1">
      <alignment horizontal="center"/>
    </xf>
    <xf numFmtId="168" fontId="4" fillId="0" borderId="5" xfId="1" applyNumberFormat="1" applyFont="1" applyBorder="1"/>
    <xf numFmtId="14" fontId="4" fillId="0" borderId="6" xfId="0" applyNumberFormat="1" applyFont="1" applyBorder="1"/>
    <xf numFmtId="0" fontId="4" fillId="0" borderId="7" xfId="0" applyFont="1" applyBorder="1"/>
    <xf numFmtId="14" fontId="4" fillId="0" borderId="8" xfId="0" applyNumberFormat="1" applyFont="1" applyBorder="1"/>
    <xf numFmtId="0" fontId="4" fillId="0" borderId="9" xfId="0" applyFont="1" applyBorder="1"/>
    <xf numFmtId="167" fontId="4" fillId="0" borderId="10" xfId="2" applyNumberFormat="1" applyFont="1" applyBorder="1"/>
    <xf numFmtId="10" fontId="5" fillId="2" borderId="7" xfId="0" applyNumberFormat="1" applyFont="1" applyFill="1" applyBorder="1"/>
    <xf numFmtId="168" fontId="0" fillId="0" borderId="0" xfId="0" applyNumberFormat="1"/>
    <xf numFmtId="10" fontId="5" fillId="2" borderId="5" xfId="0" applyNumberFormat="1" applyFont="1" applyFill="1" applyBorder="1"/>
    <xf numFmtId="0" fontId="0" fillId="0" borderId="0" xfId="0" applyBorder="1"/>
    <xf numFmtId="0" fontId="4" fillId="0" borderId="0" xfId="0" applyFont="1" applyBorder="1"/>
    <xf numFmtId="168" fontId="0" fillId="0" borderId="0" xfId="1" applyNumberFormat="1" applyFont="1" applyBorder="1"/>
    <xf numFmtId="14" fontId="0" fillId="0" borderId="0" xfId="0" applyNumberFormat="1" applyBorder="1"/>
    <xf numFmtId="164" fontId="0" fillId="0" borderId="0" xfId="1" applyFont="1" applyBorder="1"/>
    <xf numFmtId="10" fontId="0" fillId="0" borderId="0" xfId="0" applyNumberFormat="1" applyBorder="1"/>
    <xf numFmtId="164" fontId="0" fillId="0" borderId="0" xfId="0" applyNumberFormat="1" applyBorder="1"/>
    <xf numFmtId="164" fontId="4" fillId="0" borderId="0" xfId="0" applyNumberFormat="1" applyFont="1" applyBorder="1"/>
    <xf numFmtId="169" fontId="0" fillId="0" borderId="0" xfId="0" applyNumberFormat="1" applyBorder="1"/>
    <xf numFmtId="170" fontId="0" fillId="0" borderId="0" xfId="2" applyNumberFormat="1" applyFont="1" applyBorder="1"/>
    <xf numFmtId="167" fontId="4" fillId="0" borderId="0" xfId="2" applyNumberFormat="1" applyFont="1" applyBorder="1"/>
    <xf numFmtId="0" fontId="3" fillId="0" borderId="0" xfId="0" applyFont="1" applyBorder="1"/>
    <xf numFmtId="0" fontId="4" fillId="0" borderId="3" xfId="0" applyFont="1" applyBorder="1"/>
    <xf numFmtId="0" fontId="4" fillId="0" borderId="8" xfId="0" applyFont="1" applyBorder="1"/>
    <xf numFmtId="0" fontId="4" fillId="0" borderId="6" xfId="0" applyFont="1" applyBorder="1"/>
    <xf numFmtId="164" fontId="4" fillId="0" borderId="7" xfId="0" applyNumberFormat="1" applyFont="1" applyBorder="1" applyAlignment="1">
      <alignment horizontal="center"/>
    </xf>
    <xf numFmtId="10" fontId="4" fillId="0" borderId="1" xfId="0" applyNumberFormat="1" applyFont="1" applyBorder="1"/>
    <xf numFmtId="10" fontId="4" fillId="0" borderId="2" xfId="0" applyNumberFormat="1" applyFont="1" applyBorder="1"/>
    <xf numFmtId="14" fontId="4" fillId="0" borderId="2" xfId="0" applyNumberFormat="1" applyFont="1" applyBorder="1"/>
    <xf numFmtId="0" fontId="3" fillId="0" borderId="0" xfId="0" quotePrefix="1" applyFont="1"/>
    <xf numFmtId="14" fontId="5" fillId="2" borderId="7" xfId="0" applyNumberFormat="1" applyFont="1" applyFill="1" applyBorder="1"/>
    <xf numFmtId="14" fontId="5" fillId="2" borderId="0" xfId="0" applyNumberFormat="1" applyFont="1" applyFill="1" applyBorder="1" applyAlignment="1">
      <alignment horizontal="center"/>
    </xf>
    <xf numFmtId="14" fontId="4" fillId="0" borderId="7" xfId="0" applyNumberFormat="1" applyFont="1" applyBorder="1"/>
    <xf numFmtId="0" fontId="5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4" fontId="5" fillId="2" borderId="0" xfId="1" applyNumberFormat="1" applyFont="1" applyFill="1" applyBorder="1" applyAlignment="1">
      <alignment horizontal="center"/>
    </xf>
    <xf numFmtId="168" fontId="5" fillId="2" borderId="0" xfId="1" applyNumberFormat="1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14" fontId="4" fillId="0" borderId="1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10" fontId="5" fillId="2" borderId="0" xfId="0" applyNumberFormat="1" applyFont="1" applyFill="1" applyBorder="1" applyAlignment="1">
      <alignment horizontal="center"/>
    </xf>
    <xf numFmtId="10" fontId="4" fillId="0" borderId="0" xfId="0" applyNumberFormat="1" applyFont="1" applyBorder="1"/>
    <xf numFmtId="164" fontId="3" fillId="0" borderId="0" xfId="0" applyNumberFormat="1" applyFont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Q31"/>
  <sheetViews>
    <sheetView tabSelected="1" zoomScaleNormal="100" workbookViewId="0">
      <selection activeCell="I12" sqref="I12"/>
    </sheetView>
  </sheetViews>
  <sheetFormatPr baseColWidth="10" defaultColWidth="9.140625" defaultRowHeight="12.75" x14ac:dyDescent="0.2"/>
  <cols>
    <col min="1" max="1" width="22.140625" bestFit="1" customWidth="1"/>
    <col min="2" max="2" width="14.140625" bestFit="1" customWidth="1"/>
    <col min="3" max="3" width="13.140625" bestFit="1" customWidth="1"/>
    <col min="4" max="4" width="15.42578125" bestFit="1" customWidth="1"/>
    <col min="5" max="6" width="11.42578125" customWidth="1"/>
    <col min="7" max="7" width="15.42578125" bestFit="1" customWidth="1"/>
    <col min="8" max="8" width="20.7109375" bestFit="1" customWidth="1"/>
    <col min="9" max="9" width="15.42578125" bestFit="1" customWidth="1"/>
    <col min="10" max="10" width="15" bestFit="1" customWidth="1"/>
    <col min="11" max="11" width="15.42578125" bestFit="1" customWidth="1"/>
    <col min="12" max="256" width="11.42578125" customWidth="1"/>
  </cols>
  <sheetData>
    <row r="1" spans="1:17" x14ac:dyDescent="0.2">
      <c r="A1" t="str">
        <f>+A17</f>
        <v>Emprunt FwdFwd Cash</v>
      </c>
      <c r="B1" s="45">
        <f>-C17</f>
        <v>-25000000</v>
      </c>
      <c r="H1" s="30" t="s">
        <v>29</v>
      </c>
      <c r="M1" s="66" t="s">
        <v>4</v>
      </c>
      <c r="N1" t="s">
        <v>38</v>
      </c>
      <c r="P1">
        <v>1</v>
      </c>
      <c r="Q1" t="s">
        <v>18</v>
      </c>
    </row>
    <row r="2" spans="1:17" x14ac:dyDescent="0.2">
      <c r="A2" s="1" t="str">
        <f>+A9&amp;M2&amp;M1&amp;M2&amp;A12</f>
        <v>6M / 9M</v>
      </c>
      <c r="G2" s="30" t="str">
        <f>+A9</f>
        <v>6M</v>
      </c>
      <c r="I2" s="30" t="str">
        <f>+A12</f>
        <v>9M</v>
      </c>
      <c r="M2" s="3" t="s">
        <v>0</v>
      </c>
      <c r="N2" t="s">
        <v>39</v>
      </c>
      <c r="P2">
        <v>2</v>
      </c>
      <c r="Q2" t="s">
        <v>19</v>
      </c>
    </row>
    <row r="3" spans="1:17" x14ac:dyDescent="0.2">
      <c r="B3" t="s">
        <v>27</v>
      </c>
      <c r="D3" t="s">
        <v>1</v>
      </c>
      <c r="G3" s="4">
        <f>+G4-D4</f>
        <v>182</v>
      </c>
      <c r="I3" s="4">
        <f>+I4-D4</f>
        <v>273</v>
      </c>
      <c r="N3" t="s">
        <v>0</v>
      </c>
      <c r="P3">
        <v>3</v>
      </c>
      <c r="Q3" t="s">
        <v>20</v>
      </c>
    </row>
    <row r="4" spans="1:17" x14ac:dyDescent="0.2">
      <c r="A4" s="3" t="str">
        <f>+D17</f>
        <v>Date</v>
      </c>
      <c r="B4" s="5">
        <f>+E17</f>
        <v>44120</v>
      </c>
      <c r="C4" s="5"/>
      <c r="D4" s="5">
        <f>+B10</f>
        <v>44124</v>
      </c>
      <c r="G4" s="5">
        <f>+C10</f>
        <v>44306</v>
      </c>
      <c r="I4" s="5">
        <f>+C13</f>
        <v>44397</v>
      </c>
      <c r="J4" s="30" t="s">
        <v>6</v>
      </c>
      <c r="K4" s="30" t="s">
        <v>7</v>
      </c>
      <c r="P4">
        <v>4</v>
      </c>
      <c r="Q4" t="s">
        <v>21</v>
      </c>
    </row>
    <row r="5" spans="1:17" x14ac:dyDescent="0.2">
      <c r="B5" t="str">
        <f>N1&amp;N3&amp;I2</f>
        <v>Emprunt 9M</v>
      </c>
      <c r="D5" s="32">
        <f>+C17</f>
        <v>25000000</v>
      </c>
      <c r="E5" s="7">
        <f>+C12</f>
        <v>8.9999999999999993E-3</v>
      </c>
      <c r="I5" s="8">
        <f>-D5</f>
        <v>-25000000</v>
      </c>
      <c r="J5" s="8">
        <f>+I5*E5*I3/360</f>
        <v>-170624.99999999997</v>
      </c>
      <c r="K5" s="31">
        <f>+I5+J5</f>
        <v>-25170625</v>
      </c>
      <c r="P5">
        <v>5</v>
      </c>
      <c r="Q5" t="s">
        <v>22</v>
      </c>
    </row>
    <row r="6" spans="1:17" ht="13.5" thickBot="1" x14ac:dyDescent="0.25">
      <c r="D6" s="30" t="str">
        <f>+E12</f>
        <v>PV</v>
      </c>
      <c r="G6" s="30" t="str">
        <f>+E10&amp;A9</f>
        <v>FV6M</v>
      </c>
      <c r="I6" s="30" t="str">
        <f>+E10&amp;A12</f>
        <v>FV9M</v>
      </c>
      <c r="P6">
        <v>6</v>
      </c>
      <c r="Q6" t="s">
        <v>23</v>
      </c>
    </row>
    <row r="7" spans="1:17" x14ac:dyDescent="0.2">
      <c r="B7" t="str">
        <f>N2&amp;N3&amp;G2</f>
        <v>Prêt 6M</v>
      </c>
      <c r="D7" s="6">
        <f>-D5</f>
        <v>-25000000</v>
      </c>
      <c r="E7" s="7">
        <f>+B9</f>
        <v>8.0000000000000002E-3</v>
      </c>
      <c r="G7" s="33">
        <f>-D7*(1+(E7*G3/360))</f>
        <v>25101111.111111112</v>
      </c>
      <c r="H7" s="34"/>
      <c r="I7" s="35">
        <f>+K5</f>
        <v>-25170625</v>
      </c>
      <c r="P7">
        <v>7</v>
      </c>
      <c r="Q7" t="s">
        <v>24</v>
      </c>
    </row>
    <row r="8" spans="1:17" ht="13.5" thickBot="1" x14ac:dyDescent="0.25">
      <c r="D8" s="6"/>
      <c r="G8" s="36"/>
      <c r="H8" s="37" t="str">
        <f>+E15</f>
        <v>6M/9M</v>
      </c>
      <c r="I8" s="38">
        <f>+I9-G9</f>
        <v>91</v>
      </c>
      <c r="J8" s="3" t="s">
        <v>30</v>
      </c>
    </row>
    <row r="9" spans="1:17" ht="13.5" thickBot="1" x14ac:dyDescent="0.25">
      <c r="A9" s="13" t="s">
        <v>3</v>
      </c>
      <c r="B9" s="22">
        <v>8.0000000000000002E-3</v>
      </c>
      <c r="C9" s="22">
        <v>8.5000000000000006E-3</v>
      </c>
      <c r="D9" s="14"/>
      <c r="E9" s="28" t="s">
        <v>4</v>
      </c>
      <c r="F9" s="15"/>
      <c r="G9" s="69">
        <f>+C10</f>
        <v>44306</v>
      </c>
      <c r="H9" s="40"/>
      <c r="I9" s="41">
        <f>+C13</f>
        <v>44397</v>
      </c>
    </row>
    <row r="10" spans="1:17" x14ac:dyDescent="0.2">
      <c r="A10" s="16" t="s">
        <v>2</v>
      </c>
      <c r="B10" s="25">
        <v>44124</v>
      </c>
      <c r="C10" s="24">
        <v>44306</v>
      </c>
      <c r="D10" s="26">
        <f>+C10-B10</f>
        <v>182</v>
      </c>
      <c r="E10" s="17" t="s">
        <v>8</v>
      </c>
      <c r="F10" s="18"/>
    </row>
    <row r="11" spans="1:17" x14ac:dyDescent="0.2">
      <c r="A11" s="16"/>
      <c r="B11" s="11" t="str">
        <f>VLOOKUP(WEEKDAY(B10,1),$P$1:$Q$7,2)</f>
        <v>Mardi</v>
      </c>
      <c r="C11" s="11" t="str">
        <f>VLOOKUP(WEEKDAY(C10,1),$P$1:$Q$7,2)</f>
        <v>Mardi</v>
      </c>
      <c r="D11" s="26"/>
      <c r="E11" s="17"/>
      <c r="F11" s="18"/>
      <c r="I11" s="9">
        <f>-I7/G7</f>
        <v>1.0027693550528971</v>
      </c>
    </row>
    <row r="12" spans="1:17" x14ac:dyDescent="0.2">
      <c r="A12" s="16" t="s">
        <v>28</v>
      </c>
      <c r="B12" s="23">
        <v>8.5000000000000006E-3</v>
      </c>
      <c r="C12" s="23">
        <v>8.9999999999999993E-3</v>
      </c>
      <c r="D12" s="17"/>
      <c r="E12" s="17" t="s">
        <v>9</v>
      </c>
      <c r="F12" s="18"/>
      <c r="I12" s="9">
        <f>+I11-1</f>
        <v>2.7693550528971045E-3</v>
      </c>
    </row>
    <row r="13" spans="1:17" ht="13.5" thickBot="1" x14ac:dyDescent="0.25">
      <c r="A13" s="16" t="s">
        <v>2</v>
      </c>
      <c r="B13" s="25">
        <f>+B10</f>
        <v>44124</v>
      </c>
      <c r="C13" s="24">
        <v>44397</v>
      </c>
      <c r="D13" s="26">
        <f>+C13-B13</f>
        <v>273</v>
      </c>
      <c r="E13" s="17"/>
      <c r="F13" s="18"/>
      <c r="I13" s="10">
        <f>+I12</f>
        <v>2.7693550528971045E-3</v>
      </c>
    </row>
    <row r="14" spans="1:17" ht="13.5" thickBot="1" x14ac:dyDescent="0.25">
      <c r="A14" s="16"/>
      <c r="B14" s="11" t="str">
        <f>VLOOKUP(WEEKDAY(B13,1),$P$1:$Q$7,2)</f>
        <v>Mardi</v>
      </c>
      <c r="C14" s="11" t="str">
        <f>VLOOKUP(WEEKDAY(C13,1),$P$1:$Q$7,2)</f>
        <v>Mardi</v>
      </c>
      <c r="D14" s="26"/>
      <c r="E14" s="17"/>
      <c r="F14" s="18"/>
      <c r="H14" s="42" t="s">
        <v>5</v>
      </c>
      <c r="I14" s="43">
        <f>+I13/I8*360</f>
        <v>1.095569031915338E-2</v>
      </c>
    </row>
    <row r="15" spans="1:17" x14ac:dyDescent="0.2">
      <c r="A15" s="16" t="str">
        <f>H1&amp;M2&amp;A2</f>
        <v>FWD/FWD 6M / 9M</v>
      </c>
      <c r="B15" s="24">
        <f>+C10</f>
        <v>44306</v>
      </c>
      <c r="C15" s="24">
        <f>+C13</f>
        <v>44397</v>
      </c>
      <c r="D15" s="26">
        <f>+C15-B15</f>
        <v>91</v>
      </c>
      <c r="E15" s="17" t="str">
        <f>+A9&amp;E9&amp;A12</f>
        <v>6M/9M</v>
      </c>
      <c r="F15" s="18"/>
      <c r="H15" s="48"/>
      <c r="I15" s="57"/>
    </row>
    <row r="16" spans="1:17" x14ac:dyDescent="0.2">
      <c r="A16" s="16"/>
      <c r="B16" s="11" t="str">
        <f>VLOOKUP(WEEKDAY(B15,1),$P$1:$Q$7,2)</f>
        <v>Mardi</v>
      </c>
      <c r="C16" s="11" t="str">
        <f>VLOOKUP(WEEKDAY(C15,1),$P$1:$Q$7,2)</f>
        <v>Mardi</v>
      </c>
      <c r="D16" s="26"/>
      <c r="E16" s="17"/>
      <c r="F16" s="18"/>
    </row>
    <row r="17" spans="1:11" ht="13.5" thickBot="1" x14ac:dyDescent="0.25">
      <c r="A17" s="19" t="s">
        <v>10</v>
      </c>
      <c r="B17" s="20"/>
      <c r="C17" s="27">
        <v>25000000</v>
      </c>
      <c r="D17" s="20" t="s">
        <v>17</v>
      </c>
      <c r="E17" s="67">
        <v>44120</v>
      </c>
      <c r="F17" s="70" t="str">
        <f>VLOOKUP(WEEKDAY(E17,1),$P$1:$Q$7,2)</f>
        <v>Vendredi</v>
      </c>
    </row>
    <row r="19" spans="1:11" x14ac:dyDescent="0.2">
      <c r="G19" s="30" t="str">
        <f>+A9</f>
        <v>6M</v>
      </c>
      <c r="I19" s="30" t="str">
        <f>+A12</f>
        <v>9M</v>
      </c>
    </row>
    <row r="20" spans="1:11" x14ac:dyDescent="0.2">
      <c r="D20" t="s">
        <v>1</v>
      </c>
      <c r="G20" s="4">
        <f>+G21-D21</f>
        <v>182</v>
      </c>
      <c r="I20" s="4">
        <f>+I21-D21</f>
        <v>273</v>
      </c>
    </row>
    <row r="21" spans="1:11" x14ac:dyDescent="0.2">
      <c r="C21" s="5"/>
      <c r="D21" s="5">
        <f>+B10</f>
        <v>44124</v>
      </c>
      <c r="G21" s="5">
        <f>+C10</f>
        <v>44306</v>
      </c>
      <c r="I21" s="5">
        <f>+C13</f>
        <v>44397</v>
      </c>
      <c r="J21" s="30" t="str">
        <f>+J4</f>
        <v>Int</v>
      </c>
      <c r="K21" s="30" t="str">
        <f>+K4</f>
        <v>Future Value</v>
      </c>
    </row>
    <row r="22" spans="1:11" x14ac:dyDescent="0.2">
      <c r="B22" t="str">
        <f>+B5</f>
        <v>Emprunt 9M</v>
      </c>
      <c r="D22" s="6">
        <f>+D24</f>
        <v>24899296.179894645</v>
      </c>
      <c r="E22" s="7">
        <f>+C12</f>
        <v>8.9999999999999993E-3</v>
      </c>
      <c r="F22" s="7"/>
      <c r="G22" s="8"/>
      <c r="I22" s="8">
        <f>-D22</f>
        <v>-24899296.179894645</v>
      </c>
      <c r="J22" s="8">
        <f>+I22*E22*I20/360</f>
        <v>-169937.69642778093</v>
      </c>
      <c r="K22" s="8">
        <f>+I22+J22</f>
        <v>-25069233.876322426</v>
      </c>
    </row>
    <row r="23" spans="1:11" ht="13.5" thickBot="1" x14ac:dyDescent="0.25">
      <c r="D23" s="30" t="str">
        <f>+E12</f>
        <v>PV</v>
      </c>
      <c r="G23" s="30" t="str">
        <f>+G6</f>
        <v>FV6M</v>
      </c>
      <c r="I23" s="30" t="str">
        <f>+I6</f>
        <v>FV9M</v>
      </c>
    </row>
    <row r="24" spans="1:11" x14ac:dyDescent="0.2">
      <c r="B24" t="str">
        <f>+B7</f>
        <v>Prêt 6M</v>
      </c>
      <c r="D24" s="6">
        <f>+G24/(1+(E24*G20/360))</f>
        <v>24899296.179894645</v>
      </c>
      <c r="E24" s="7">
        <f>+B9</f>
        <v>8.0000000000000002E-3</v>
      </c>
      <c r="G24" s="33">
        <f>+C17</f>
        <v>25000000</v>
      </c>
      <c r="H24" s="34"/>
      <c r="I24" s="35">
        <f>+K22</f>
        <v>-25069233.876322426</v>
      </c>
    </row>
    <row r="25" spans="1:11" x14ac:dyDescent="0.2">
      <c r="D25" s="6"/>
      <c r="G25" s="36"/>
      <c r="H25" s="37" t="str">
        <f>+E15</f>
        <v>6M/9M</v>
      </c>
      <c r="I25" s="38">
        <f>+I26-G26</f>
        <v>91</v>
      </c>
      <c r="J25" t="str">
        <f>+J8</f>
        <v>jours calendaires</v>
      </c>
    </row>
    <row r="26" spans="1:11" ht="13.5" thickBot="1" x14ac:dyDescent="0.25">
      <c r="G26" s="39">
        <f>+B15</f>
        <v>44306</v>
      </c>
      <c r="H26" s="40"/>
      <c r="I26" s="41">
        <f>+C15</f>
        <v>44397</v>
      </c>
    </row>
    <row r="28" spans="1:11" x14ac:dyDescent="0.2">
      <c r="I28" s="9">
        <f>-I24/G24</f>
        <v>1.0027693550528971</v>
      </c>
    </row>
    <row r="29" spans="1:11" x14ac:dyDescent="0.2">
      <c r="I29" s="9">
        <f>+I28-1</f>
        <v>2.7693550528971045E-3</v>
      </c>
    </row>
    <row r="30" spans="1:11" ht="13.5" thickBot="1" x14ac:dyDescent="0.25">
      <c r="I30" s="10">
        <f>+I29</f>
        <v>2.7693550528971045E-3</v>
      </c>
    </row>
    <row r="31" spans="1:11" ht="13.5" thickBot="1" x14ac:dyDescent="0.25">
      <c r="H31" s="42" t="s">
        <v>5</v>
      </c>
      <c r="I31" s="43">
        <f>+I30/I25*360</f>
        <v>1.095569031915338E-2</v>
      </c>
    </row>
  </sheetData>
  <phoneticPr fontId="2" type="noConversion"/>
  <pageMargins left="0.78740157480314965" right="0.78740157480314965" top="0.98425196850393704" bottom="0.98425196850393704" header="0.51181102362204722" footer="0.51181102362204722"/>
  <pageSetup paperSize="9"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41"/>
  <sheetViews>
    <sheetView topLeftCell="A20" zoomScaleNormal="100" workbookViewId="0">
      <selection activeCell="G37" sqref="G37"/>
    </sheetView>
  </sheetViews>
  <sheetFormatPr baseColWidth="10" defaultColWidth="9.140625" defaultRowHeight="12.75" x14ac:dyDescent="0.2"/>
  <cols>
    <col min="1" max="1" width="19.140625" bestFit="1" customWidth="1"/>
    <col min="2" max="2" width="19" bestFit="1" customWidth="1"/>
    <col min="3" max="3" width="12.85546875" bestFit="1" customWidth="1"/>
    <col min="4" max="4" width="15.42578125" bestFit="1" customWidth="1"/>
    <col min="5" max="5" width="26.85546875" bestFit="1" customWidth="1"/>
    <col min="6" max="6" width="11.42578125" customWidth="1"/>
    <col min="7" max="7" width="15.42578125" bestFit="1" customWidth="1"/>
    <col min="8" max="8" width="20.7109375" bestFit="1" customWidth="1"/>
    <col min="9" max="9" width="15.42578125" bestFit="1" customWidth="1"/>
    <col min="10" max="10" width="11.85546875" bestFit="1" customWidth="1"/>
    <col min="11" max="11" width="15.42578125" bestFit="1" customWidth="1"/>
    <col min="12" max="256" width="11.42578125" customWidth="1"/>
  </cols>
  <sheetData>
    <row r="1" spans="1:17" x14ac:dyDescent="0.2">
      <c r="A1" s="72" t="s">
        <v>31</v>
      </c>
      <c r="B1" s="73" t="s">
        <v>32</v>
      </c>
      <c r="L1" s="3" t="s">
        <v>0</v>
      </c>
      <c r="P1">
        <v>1</v>
      </c>
      <c r="Q1" t="s">
        <v>18</v>
      </c>
    </row>
    <row r="2" spans="1:17" ht="13.5" thickBot="1" x14ac:dyDescent="0.25">
      <c r="A2" s="74" t="str">
        <f>+FWDFWD!A2</f>
        <v>6M / 9M</v>
      </c>
      <c r="B2" s="75" t="str">
        <f>+A2</f>
        <v>6M / 9M</v>
      </c>
      <c r="G2" s="29" t="str">
        <f>+A13</f>
        <v>6M</v>
      </c>
      <c r="I2" s="29" t="str">
        <f>+A16</f>
        <v>9M</v>
      </c>
      <c r="P2">
        <v>2</v>
      </c>
      <c r="Q2" t="s">
        <v>19</v>
      </c>
    </row>
    <row r="3" spans="1:17" x14ac:dyDescent="0.2">
      <c r="B3" s="30" t="s">
        <v>27</v>
      </c>
      <c r="D3" s="71" t="s">
        <v>1</v>
      </c>
      <c r="G3" s="4">
        <f>+G4-D4</f>
        <v>182</v>
      </c>
      <c r="I3" s="4">
        <f>+I4-D4</f>
        <v>273</v>
      </c>
      <c r="P3">
        <v>3</v>
      </c>
      <c r="Q3" t="s">
        <v>20</v>
      </c>
    </row>
    <row r="4" spans="1:17" x14ac:dyDescent="0.2">
      <c r="B4" s="2">
        <f>+FWDFWD!E17</f>
        <v>44120</v>
      </c>
      <c r="C4" s="5"/>
      <c r="D4" s="2">
        <f>+B14</f>
        <v>44124</v>
      </c>
      <c r="G4" s="5">
        <f>+C14</f>
        <v>44306</v>
      </c>
      <c r="I4" s="5">
        <f>+C17</f>
        <v>44397</v>
      </c>
      <c r="J4" s="30"/>
      <c r="K4" s="30"/>
      <c r="P4">
        <v>4</v>
      </c>
      <c r="Q4" t="s">
        <v>21</v>
      </c>
    </row>
    <row r="5" spans="1:17" x14ac:dyDescent="0.2">
      <c r="B5" t="str">
        <f>+A21</f>
        <v>ACHAT FRA 6M / 9M</v>
      </c>
      <c r="D5" s="32"/>
      <c r="E5" s="7"/>
      <c r="G5" s="45">
        <f>-C21</f>
        <v>25000000</v>
      </c>
      <c r="I5" s="8">
        <f>-G5*(1+(E21*I8/360))</f>
        <v>-25066354.166666664</v>
      </c>
      <c r="J5" s="84" t="s">
        <v>37</v>
      </c>
      <c r="K5" s="31"/>
      <c r="P5">
        <v>5</v>
      </c>
      <c r="Q5" t="s">
        <v>22</v>
      </c>
    </row>
    <row r="6" spans="1:17" ht="13.5" thickBot="1" x14ac:dyDescent="0.25">
      <c r="D6" s="30" t="str">
        <f>+E16</f>
        <v>PV</v>
      </c>
      <c r="G6" s="30" t="str">
        <f>+E14&amp;A13</f>
        <v>FV6M</v>
      </c>
      <c r="I6" s="30" t="str">
        <f>+E14&amp;A16</f>
        <v>FV9M</v>
      </c>
      <c r="P6">
        <v>6</v>
      </c>
      <c r="Q6" t="s">
        <v>23</v>
      </c>
    </row>
    <row r="7" spans="1:17" x14ac:dyDescent="0.2">
      <c r="D7" s="6"/>
      <c r="E7" s="7"/>
      <c r="G7" s="33"/>
      <c r="H7" s="34"/>
      <c r="I7" s="35"/>
      <c r="P7">
        <v>7</v>
      </c>
      <c r="Q7" t="s">
        <v>24</v>
      </c>
    </row>
    <row r="8" spans="1:17" x14ac:dyDescent="0.2">
      <c r="D8" s="6"/>
      <c r="G8" s="36"/>
      <c r="H8" s="37" t="str">
        <f>+E17&amp;E19</f>
        <v>FRA6M/9M</v>
      </c>
      <c r="I8" s="38">
        <f>+I9-G9</f>
        <v>91</v>
      </c>
    </row>
    <row r="9" spans="1:17" ht="13.5" thickBot="1" x14ac:dyDescent="0.25">
      <c r="G9" s="39">
        <f>+C14</f>
        <v>44306</v>
      </c>
      <c r="H9" s="40"/>
      <c r="I9" s="41">
        <f>+C17</f>
        <v>44397</v>
      </c>
    </row>
    <row r="10" spans="1:17" ht="13.5" thickBot="1" x14ac:dyDescent="0.25">
      <c r="H10" s="42" t="s">
        <v>5</v>
      </c>
      <c r="I10" s="43">
        <f>+E21</f>
        <v>1.0500000000000001E-2</v>
      </c>
      <c r="J10" s="30" t="s">
        <v>34</v>
      </c>
    </row>
    <row r="11" spans="1:17" x14ac:dyDescent="0.2">
      <c r="I11" s="9"/>
    </row>
    <row r="12" spans="1:17" ht="13.5" thickBot="1" x14ac:dyDescent="0.25">
      <c r="I12" s="9"/>
    </row>
    <row r="13" spans="1:17" x14ac:dyDescent="0.2">
      <c r="A13" s="13" t="str">
        <f>+FWDFWD!A9</f>
        <v>6M</v>
      </c>
      <c r="B13" s="22"/>
      <c r="C13" s="22"/>
      <c r="D13" s="14"/>
      <c r="E13" s="28" t="s">
        <v>4</v>
      </c>
      <c r="F13" s="15" t="s">
        <v>12</v>
      </c>
      <c r="I13" s="10"/>
    </row>
    <row r="14" spans="1:17" x14ac:dyDescent="0.2">
      <c r="A14" s="16" t="s">
        <v>2</v>
      </c>
      <c r="B14" s="76">
        <f>+FWDFWD!B10</f>
        <v>44124</v>
      </c>
      <c r="C14" s="76">
        <f>+FWDFWD!C10</f>
        <v>44306</v>
      </c>
      <c r="D14" s="26">
        <f>+C14-B14</f>
        <v>182</v>
      </c>
      <c r="E14" s="17" t="s">
        <v>8</v>
      </c>
      <c r="F14" s="46">
        <v>1.7500000000000002E-2</v>
      </c>
      <c r="I14" s="10"/>
    </row>
    <row r="15" spans="1:17" x14ac:dyDescent="0.2">
      <c r="A15" s="16"/>
      <c r="B15" s="76" t="str">
        <f>+FWDFWD!B11</f>
        <v>Mardi</v>
      </c>
      <c r="C15" s="76" t="str">
        <f>+FWDFWD!C11</f>
        <v>Mardi</v>
      </c>
      <c r="D15" s="26"/>
      <c r="E15" s="17"/>
      <c r="F15" s="46"/>
      <c r="I15" s="10"/>
    </row>
    <row r="16" spans="1:17" x14ac:dyDescent="0.2">
      <c r="A16" s="16" t="str">
        <f>+FWDFWD!A12</f>
        <v>9M</v>
      </c>
      <c r="B16" s="82"/>
      <c r="C16" s="82"/>
      <c r="D16" s="17"/>
      <c r="E16" s="17" t="s">
        <v>9</v>
      </c>
      <c r="F16" s="18" t="s">
        <v>13</v>
      </c>
    </row>
    <row r="17" spans="1:11" x14ac:dyDescent="0.2">
      <c r="A17" s="16" t="s">
        <v>2</v>
      </c>
      <c r="B17" s="76">
        <f>+FWDFWD!B13</f>
        <v>44124</v>
      </c>
      <c r="C17" s="76">
        <f>+FWDFWD!C13</f>
        <v>44397</v>
      </c>
      <c r="D17" s="26">
        <f>+C17-B17</f>
        <v>273</v>
      </c>
      <c r="E17" s="17" t="s">
        <v>11</v>
      </c>
      <c r="F17" s="46">
        <v>2.5000000000000001E-2</v>
      </c>
    </row>
    <row r="18" spans="1:11" x14ac:dyDescent="0.2">
      <c r="A18" s="16"/>
      <c r="B18" s="76" t="str">
        <f>+FWDFWD!B14</f>
        <v>Mardi</v>
      </c>
      <c r="C18" s="76" t="str">
        <f>+FWDFWD!C14</f>
        <v>Mardi</v>
      </c>
      <c r="D18" s="26"/>
      <c r="E18" s="17"/>
      <c r="F18" s="46"/>
    </row>
    <row r="19" spans="1:11" x14ac:dyDescent="0.2">
      <c r="A19" s="16" t="str">
        <f>E17&amp;L1&amp;E19</f>
        <v>FRA 6M/9M</v>
      </c>
      <c r="B19" s="68">
        <f>+C14</f>
        <v>44306</v>
      </c>
      <c r="C19" s="68">
        <f>+C17</f>
        <v>44397</v>
      </c>
      <c r="D19" s="26">
        <f>+C19-B19</f>
        <v>91</v>
      </c>
      <c r="E19" s="17" t="str">
        <f>+A13&amp;E13&amp;A16</f>
        <v>6M/9M</v>
      </c>
      <c r="F19" s="18"/>
    </row>
    <row r="20" spans="1:11" x14ac:dyDescent="0.2">
      <c r="A20" s="16"/>
      <c r="B20" s="68" t="str">
        <f>+C15</f>
        <v>Mardi</v>
      </c>
      <c r="C20" s="68" t="str">
        <f>+C18</f>
        <v>Mardi</v>
      </c>
      <c r="D20" s="77" t="s">
        <v>25</v>
      </c>
      <c r="E20" s="11" t="s">
        <v>26</v>
      </c>
      <c r="F20" s="18"/>
    </row>
    <row r="21" spans="1:11" x14ac:dyDescent="0.2">
      <c r="A21" s="16" t="str">
        <f>B1&amp;L1&amp;B2</f>
        <v>ACHAT FRA 6M / 9M</v>
      </c>
      <c r="B21" s="11"/>
      <c r="C21" s="77">
        <f>+FWDFWD!B1</f>
        <v>-25000000</v>
      </c>
      <c r="D21" s="23">
        <v>0.01</v>
      </c>
      <c r="E21" s="23">
        <v>1.0500000000000001E-2</v>
      </c>
      <c r="F21" s="18"/>
    </row>
    <row r="22" spans="1:11" x14ac:dyDescent="0.2">
      <c r="A22" s="16" t="s">
        <v>33</v>
      </c>
      <c r="B22" s="68">
        <v>44302</v>
      </c>
      <c r="C22" s="77"/>
      <c r="D22" s="23"/>
      <c r="E22" s="23"/>
      <c r="F22" s="18"/>
    </row>
    <row r="23" spans="1:11" x14ac:dyDescent="0.2">
      <c r="A23" s="16"/>
      <c r="B23" s="11" t="str">
        <f>VLOOKUP(WEEKDAY(B22,1),$P$1:$Q$7,2)</f>
        <v>Vendredi</v>
      </c>
      <c r="C23" s="77"/>
      <c r="D23" s="23" t="s">
        <v>12</v>
      </c>
      <c r="E23" s="23">
        <v>7.4999999999999997E-3</v>
      </c>
      <c r="F23" s="18"/>
    </row>
    <row r="24" spans="1:11" x14ac:dyDescent="0.2">
      <c r="A24" s="16"/>
      <c r="B24" s="11"/>
      <c r="C24" s="26"/>
      <c r="D24" s="23" t="s">
        <v>36</v>
      </c>
      <c r="E24" s="23">
        <v>1.35E-2</v>
      </c>
      <c r="F24" s="18"/>
    </row>
    <row r="25" spans="1:11" ht="13.5" thickBot="1" x14ac:dyDescent="0.25">
      <c r="A25" s="19"/>
      <c r="B25" s="12"/>
      <c r="C25" s="27"/>
      <c r="D25" s="44"/>
      <c r="E25" s="44"/>
      <c r="F25" s="21"/>
    </row>
    <row r="26" spans="1:11" ht="13.5" thickBot="1" x14ac:dyDescent="0.25"/>
    <row r="27" spans="1:11" ht="13.5" thickBot="1" x14ac:dyDescent="0.25">
      <c r="D27" s="78" t="str">
        <f>+A22</f>
        <v>Fixing Date</v>
      </c>
      <c r="E27" s="79">
        <f>+B22</f>
        <v>44302</v>
      </c>
      <c r="F27" s="80" t="s">
        <v>35</v>
      </c>
      <c r="G27" s="81">
        <f>+B19</f>
        <v>44306</v>
      </c>
    </row>
    <row r="28" spans="1:11" x14ac:dyDescent="0.2">
      <c r="B28" s="47"/>
      <c r="C28" s="47"/>
      <c r="D28" s="47"/>
      <c r="E28" s="47"/>
      <c r="F28" s="47"/>
      <c r="G28" s="48"/>
      <c r="H28" s="47"/>
      <c r="I28" s="48"/>
      <c r="J28" s="47"/>
      <c r="K28" s="47"/>
    </row>
    <row r="29" spans="1:11" x14ac:dyDescent="0.2">
      <c r="B29" s="83" t="str">
        <f>+D23</f>
        <v>HYP 1</v>
      </c>
      <c r="C29" s="52">
        <f>+E23</f>
        <v>7.4999999999999997E-3</v>
      </c>
      <c r="D29" s="47"/>
      <c r="E29" s="47"/>
      <c r="F29" s="47"/>
      <c r="G29" s="49">
        <f>-G5</f>
        <v>-25000000</v>
      </c>
      <c r="H29" s="47"/>
      <c r="I29" s="49">
        <f>-G29*(1+(C29*I8/360))</f>
        <v>25047395.833333336</v>
      </c>
      <c r="J29" s="58" t="s">
        <v>37</v>
      </c>
      <c r="K29" s="47"/>
    </row>
    <row r="30" spans="1:11" ht="13.5" thickBot="1" x14ac:dyDescent="0.25">
      <c r="B30" s="47"/>
      <c r="C30" s="50"/>
      <c r="D30" s="50"/>
      <c r="E30" s="47"/>
      <c r="F30" s="47"/>
      <c r="G30" s="50"/>
      <c r="H30" s="58" t="s">
        <v>14</v>
      </c>
      <c r="I30" s="49">
        <f>+I29+I5</f>
        <v>-18958.333333328366</v>
      </c>
      <c r="J30" s="37" t="s">
        <v>16</v>
      </c>
      <c r="K30" s="37"/>
    </row>
    <row r="31" spans="1:11" x14ac:dyDescent="0.2">
      <c r="B31" s="47"/>
      <c r="C31" s="47"/>
      <c r="D31" s="51"/>
      <c r="E31" s="63"/>
      <c r="F31" s="64"/>
      <c r="G31" s="65">
        <f>+G4</f>
        <v>44306</v>
      </c>
      <c r="H31" s="59"/>
      <c r="I31" s="50">
        <f>+I4</f>
        <v>44397</v>
      </c>
      <c r="J31" s="53"/>
      <c r="K31" s="53"/>
    </row>
    <row r="32" spans="1:11" ht="13.5" thickBot="1" x14ac:dyDescent="0.25">
      <c r="B32" s="47"/>
      <c r="C32" s="47"/>
      <c r="D32" s="37"/>
      <c r="E32" s="61" t="str">
        <f>IF(G32&lt;0,"L'acheteur paye au vendeur","L'acheteur reçoit du vendeur")</f>
        <v>L'acheteur paye au vendeur</v>
      </c>
      <c r="F32" s="40"/>
      <c r="G32" s="62">
        <f>+I30/(1+(C29*I8/360))</f>
        <v>-18922.459503852311</v>
      </c>
      <c r="H32" s="60" t="s">
        <v>15</v>
      </c>
      <c r="I32" s="37"/>
      <c r="J32" s="47"/>
      <c r="K32" s="47"/>
    </row>
    <row r="33" spans="2:11" x14ac:dyDescent="0.2">
      <c r="B33" s="47"/>
      <c r="C33" s="47"/>
      <c r="D33" s="51"/>
      <c r="E33" s="52"/>
      <c r="F33" s="47"/>
      <c r="G33" s="54"/>
      <c r="H33" s="48"/>
      <c r="I33" s="54"/>
      <c r="J33" s="47"/>
      <c r="K33" s="47"/>
    </row>
    <row r="34" spans="2:11" x14ac:dyDescent="0.2">
      <c r="B34" s="83" t="str">
        <f>+D24</f>
        <v>HYP 2</v>
      </c>
      <c r="C34" s="52">
        <f>+E24</f>
        <v>1.35E-2</v>
      </c>
      <c r="D34" s="47"/>
      <c r="E34" s="47"/>
      <c r="F34" s="47"/>
      <c r="G34" s="49">
        <f>-G5</f>
        <v>-25000000</v>
      </c>
      <c r="H34" s="47"/>
      <c r="I34" s="49">
        <f>-G34*(1+(C34*I8/360))</f>
        <v>25085312.5</v>
      </c>
      <c r="J34" s="58" t="s">
        <v>37</v>
      </c>
      <c r="K34" s="47"/>
    </row>
    <row r="35" spans="2:11" ht="13.5" thickBot="1" x14ac:dyDescent="0.25">
      <c r="B35" s="47"/>
      <c r="C35" s="50"/>
      <c r="D35" s="50"/>
      <c r="E35" s="47"/>
      <c r="F35" s="47"/>
      <c r="G35" s="50"/>
      <c r="H35" s="58" t="s">
        <v>14</v>
      </c>
      <c r="I35" s="49">
        <f>+I34+I5</f>
        <v>18958.333333335817</v>
      </c>
      <c r="J35" s="37" t="s">
        <v>16</v>
      </c>
      <c r="K35" s="47"/>
    </row>
    <row r="36" spans="2:11" x14ac:dyDescent="0.2">
      <c r="B36" s="47"/>
      <c r="C36" s="47"/>
      <c r="D36" s="51"/>
      <c r="E36" s="63"/>
      <c r="F36" s="64"/>
      <c r="G36" s="65">
        <f>+G4</f>
        <v>44306</v>
      </c>
      <c r="H36" s="59"/>
      <c r="I36" s="50">
        <f>+I4</f>
        <v>44397</v>
      </c>
      <c r="J36" s="53"/>
      <c r="K36" s="47"/>
    </row>
    <row r="37" spans="2:11" ht="13.5" thickBot="1" x14ac:dyDescent="0.25">
      <c r="B37" s="47"/>
      <c r="C37" s="47"/>
      <c r="D37" s="37"/>
      <c r="E37" s="61" t="str">
        <f>IF(G37&lt;0,"L'acheteur paye au vendeur","L'acheteur reçoit du vendeur")</f>
        <v>L'acheteur reçoit du vendeur</v>
      </c>
      <c r="F37" s="40"/>
      <c r="G37" s="62">
        <f>+I35/(1+(C34*I8/360))</f>
        <v>18893.858042764881</v>
      </c>
      <c r="H37" s="60" t="s">
        <v>15</v>
      </c>
      <c r="I37" s="37"/>
      <c r="J37" s="47"/>
      <c r="K37" s="47"/>
    </row>
    <row r="38" spans="2:11" x14ac:dyDescent="0.2">
      <c r="B38" s="47"/>
      <c r="C38" s="47"/>
      <c r="D38" s="47"/>
      <c r="E38" s="47"/>
      <c r="F38" s="47"/>
      <c r="G38" s="47"/>
      <c r="H38" s="47"/>
      <c r="I38" s="55"/>
      <c r="J38" s="47"/>
      <c r="K38" s="47"/>
    </row>
    <row r="39" spans="2:11" x14ac:dyDescent="0.2">
      <c r="B39" s="47"/>
      <c r="C39" s="47"/>
      <c r="D39" s="47"/>
      <c r="E39" s="47"/>
      <c r="F39" s="47"/>
      <c r="G39" s="47"/>
      <c r="H39" s="47"/>
      <c r="I39" s="56"/>
      <c r="J39" s="47"/>
      <c r="K39" s="47"/>
    </row>
    <row r="40" spans="2:11" x14ac:dyDescent="0.2">
      <c r="B40" s="47"/>
      <c r="C40" s="47"/>
      <c r="D40" s="47"/>
      <c r="E40" s="47"/>
      <c r="F40" s="47"/>
      <c r="G40" s="47"/>
      <c r="H40" s="47"/>
      <c r="I40" s="56"/>
      <c r="J40" s="47"/>
      <c r="K40" s="47"/>
    </row>
    <row r="41" spans="2:11" x14ac:dyDescent="0.2">
      <c r="B41" s="47"/>
      <c r="C41" s="47"/>
      <c r="D41" s="47"/>
      <c r="E41" s="47"/>
      <c r="F41" s="47"/>
      <c r="G41" s="47"/>
      <c r="H41" s="48"/>
      <c r="I41" s="57"/>
      <c r="J41" s="47"/>
      <c r="K41" s="47"/>
    </row>
  </sheetData>
  <pageMargins left="0.78740157480314965" right="0.78740157480314965" top="0.98425196850393704" bottom="0.98425196850393704" header="0.51181102362204722" footer="0.51181102362204722"/>
  <pageSetup paperSize="9"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FWDFWD</vt:lpstr>
      <vt:lpstr>FRA</vt:lpstr>
    </vt:vector>
  </TitlesOfParts>
  <Company>CFM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ciosi</dc:creator>
  <cp:lastModifiedBy>user</cp:lastModifiedBy>
  <cp:lastPrinted>2016-01-08T08:52:40Z</cp:lastPrinted>
  <dcterms:created xsi:type="dcterms:W3CDTF">2013-01-21T09:09:44Z</dcterms:created>
  <dcterms:modified xsi:type="dcterms:W3CDTF">2022-01-04T13:08:51Z</dcterms:modified>
</cp:coreProperties>
</file>