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E:\Dropbox\0 北美地产学堂\商业地产小型多单位公寓课程\小型多单位公寓二阶课程\二阶课程内容\二期\上课材料\小型多单位公寓二阶课程 Week 2\Underwriting\"/>
    </mc:Choice>
  </mc:AlternateContent>
  <xr:revisionPtr revIDLastSave="0" documentId="13_ncr:1_{5674746E-4032-44E9-907F-76AE4ED379F9}" xr6:coauthVersionLast="45" xr6:coauthVersionMax="45" xr10:uidLastSave="{00000000-0000-0000-0000-000000000000}"/>
  <bookViews>
    <workbookView xWindow="-38460" yWindow="-60" windowWidth="38520" windowHeight="21720" tabRatio="764" activeTab="1" xr2:uid="{00000000-000D-0000-FFFF-FFFF00000000}"/>
  </bookViews>
  <sheets>
    <sheet name="Rent Roll" sheetId="10" r:id="rId1"/>
    <sheet name="Financial Summary" sheetId="6" r:id="rId2"/>
  </sheets>
  <definedNames>
    <definedName name="wrn.Proforma.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6" i="6" l="1"/>
  <c r="F66" i="6" l="1"/>
  <c r="F44" i="6" l="1"/>
  <c r="D58" i="6"/>
  <c r="H58" i="6"/>
  <c r="N44" i="6"/>
  <c r="L44" i="6"/>
  <c r="J44" i="6"/>
  <c r="H44" i="6"/>
  <c r="F49" i="6"/>
  <c r="F47" i="6"/>
  <c r="F46" i="6"/>
  <c r="F45" i="6"/>
  <c r="L69" i="6"/>
  <c r="M8" i="6"/>
  <c r="J3" i="6"/>
  <c r="H49" i="6"/>
  <c r="J21" i="6"/>
  <c r="K21" i="6" s="1"/>
  <c r="M21" i="6" s="1"/>
  <c r="K32" i="10"/>
  <c r="J32" i="10"/>
  <c r="I32" i="10"/>
  <c r="H32" i="10"/>
  <c r="G32" i="10"/>
  <c r="F32" i="10"/>
  <c r="E32" i="10"/>
  <c r="D32" i="10"/>
  <c r="F23" i="6" s="1"/>
  <c r="F22" i="6"/>
  <c r="F21" i="6"/>
  <c r="J49" i="6" l="1"/>
  <c r="E4" i="10"/>
  <c r="F4" i="10"/>
  <c r="H4" i="10"/>
  <c r="I4" i="10"/>
  <c r="J4" i="10"/>
  <c r="K4" i="10"/>
  <c r="E5" i="10"/>
  <c r="F5" i="10"/>
  <c r="H5" i="10"/>
  <c r="I5" i="10"/>
  <c r="J5" i="10"/>
  <c r="K5" i="10"/>
  <c r="E6" i="10"/>
  <c r="F6" i="10"/>
  <c r="H6" i="10"/>
  <c r="I6" i="10"/>
  <c r="J6" i="10"/>
  <c r="K6" i="10"/>
  <c r="E7" i="10"/>
  <c r="F7" i="10"/>
  <c r="H7" i="10"/>
  <c r="I7" i="10"/>
  <c r="J7" i="10"/>
  <c r="K7" i="10"/>
  <c r="E8" i="10"/>
  <c r="F8" i="10"/>
  <c r="H8" i="10"/>
  <c r="I8" i="10"/>
  <c r="J8" i="10"/>
  <c r="K8" i="10"/>
  <c r="E9" i="10"/>
  <c r="F9" i="10"/>
  <c r="H9" i="10"/>
  <c r="I9" i="10"/>
  <c r="J9" i="10"/>
  <c r="K9" i="10"/>
  <c r="E10" i="10"/>
  <c r="F10" i="10"/>
  <c r="H10" i="10"/>
  <c r="I10" i="10"/>
  <c r="J10" i="10"/>
  <c r="K10" i="10"/>
  <c r="E11" i="10"/>
  <c r="F11" i="10"/>
  <c r="H11" i="10"/>
  <c r="I11" i="10"/>
  <c r="J11" i="10"/>
  <c r="K11" i="10"/>
  <c r="E12" i="10"/>
  <c r="F12" i="10"/>
  <c r="H12" i="10"/>
  <c r="I12" i="10"/>
  <c r="J12" i="10"/>
  <c r="K12" i="10"/>
  <c r="E13" i="10"/>
  <c r="F13" i="10"/>
  <c r="H13" i="10"/>
  <c r="I13" i="10"/>
  <c r="J13" i="10"/>
  <c r="K13" i="10"/>
  <c r="E14" i="10"/>
  <c r="F14" i="10"/>
  <c r="H14" i="10"/>
  <c r="I14" i="10"/>
  <c r="J14" i="10"/>
  <c r="K14" i="10"/>
  <c r="L49" i="6" l="1"/>
  <c r="F64" i="6"/>
  <c r="H64" i="6" s="1"/>
  <c r="J64" i="6" s="1"/>
  <c r="L64" i="6" s="1"/>
  <c r="B13" i="6"/>
  <c r="F3" i="6"/>
  <c r="J2" i="6" s="1"/>
  <c r="E2" i="6"/>
  <c r="J8" i="6"/>
  <c r="J4" i="6"/>
  <c r="D53" i="6"/>
  <c r="F53" i="6" s="1"/>
  <c r="H53" i="6" s="1"/>
  <c r="H22" i="6"/>
  <c r="G22" i="6"/>
  <c r="H45" i="6"/>
  <c r="J45" i="6" s="1"/>
  <c r="H46" i="6"/>
  <c r="J46" i="6" s="1"/>
  <c r="L46" i="6" s="1"/>
  <c r="N46" i="6" s="1"/>
  <c r="H47" i="6"/>
  <c r="J47" i="6" s="1"/>
  <c r="L47" i="6" s="1"/>
  <c r="F48" i="6"/>
  <c r="H48" i="6" s="1"/>
  <c r="J48" i="6" s="1"/>
  <c r="L48" i="6" s="1"/>
  <c r="N48" i="6" s="1"/>
  <c r="F50" i="6"/>
  <c r="H50" i="6" s="1"/>
  <c r="J50" i="6" s="1"/>
  <c r="L50" i="6" s="1"/>
  <c r="N50" i="6" s="1"/>
  <c r="F35" i="6"/>
  <c r="H35" i="6" s="1"/>
  <c r="J35" i="6" s="1"/>
  <c r="L35" i="6" s="1"/>
  <c r="N35" i="6" s="1"/>
  <c r="F34" i="6"/>
  <c r="H34" i="6" s="1"/>
  <c r="J34" i="6" s="1"/>
  <c r="L34" i="6" s="1"/>
  <c r="N34" i="6" s="1"/>
  <c r="J23" i="6"/>
  <c r="L22" i="6"/>
  <c r="L21" i="6"/>
  <c r="J22" i="6"/>
  <c r="K22" i="6" s="1"/>
  <c r="G21" i="6"/>
  <c r="C22" i="6"/>
  <c r="C21" i="6"/>
  <c r="A23" i="6"/>
  <c r="D23" i="6"/>
  <c r="H25" i="10"/>
  <c r="H26" i="10"/>
  <c r="H27" i="10"/>
  <c r="H28" i="10"/>
  <c r="H29" i="10"/>
  <c r="H30" i="10"/>
  <c r="H31" i="10"/>
  <c r="I25" i="10"/>
  <c r="I26" i="10"/>
  <c r="I27" i="10"/>
  <c r="I28" i="10"/>
  <c r="I29" i="10"/>
  <c r="I30" i="10"/>
  <c r="I31" i="10"/>
  <c r="E31" i="10"/>
  <c r="F31" i="10"/>
  <c r="J31" i="10"/>
  <c r="K31" i="10"/>
  <c r="E30" i="10"/>
  <c r="F30" i="10"/>
  <c r="J30" i="10"/>
  <c r="K30" i="10"/>
  <c r="E29" i="10"/>
  <c r="F29" i="10"/>
  <c r="J29" i="10"/>
  <c r="K29" i="10"/>
  <c r="E28" i="10"/>
  <c r="F28" i="10"/>
  <c r="J28" i="10"/>
  <c r="K28" i="10"/>
  <c r="E27" i="10"/>
  <c r="F27" i="10"/>
  <c r="J27" i="10"/>
  <c r="K27" i="10"/>
  <c r="E26" i="10"/>
  <c r="F26" i="10"/>
  <c r="J26" i="10"/>
  <c r="K26" i="10"/>
  <c r="E25" i="10"/>
  <c r="F25" i="10"/>
  <c r="J25" i="10"/>
  <c r="K25" i="10"/>
  <c r="F31" i="6"/>
  <c r="H31" i="6" s="1"/>
  <c r="J31" i="6" s="1"/>
  <c r="L31" i="6" s="1"/>
  <c r="N31" i="6" s="1"/>
  <c r="E16" i="10"/>
  <c r="E17" i="10"/>
  <c r="E15" i="10"/>
  <c r="E18" i="10"/>
  <c r="E19" i="10"/>
  <c r="G23" i="6" s="1"/>
  <c r="D33" i="6" s="1"/>
  <c r="B11" i="6" s="1"/>
  <c r="E20" i="10"/>
  <c r="E21" i="10"/>
  <c r="E22" i="10"/>
  <c r="E23" i="10"/>
  <c r="E24" i="10"/>
  <c r="H15" i="10"/>
  <c r="I15" i="10"/>
  <c r="J15" i="10"/>
  <c r="K15" i="10"/>
  <c r="H16" i="10"/>
  <c r="I16" i="10"/>
  <c r="J16" i="10"/>
  <c r="K16" i="10"/>
  <c r="H17" i="10"/>
  <c r="I17" i="10"/>
  <c r="J17" i="10"/>
  <c r="K17" i="10"/>
  <c r="H18" i="10"/>
  <c r="I18" i="10"/>
  <c r="J18" i="10"/>
  <c r="K18" i="10"/>
  <c r="H19" i="10"/>
  <c r="I19" i="10"/>
  <c r="J19" i="10"/>
  <c r="K19" i="10"/>
  <c r="H20" i="10"/>
  <c r="I20" i="10"/>
  <c r="J20" i="10"/>
  <c r="K20" i="10"/>
  <c r="H21" i="10"/>
  <c r="I21" i="10"/>
  <c r="J21" i="10"/>
  <c r="K21" i="10"/>
  <c r="H22" i="10"/>
  <c r="I22" i="10"/>
  <c r="J22" i="10"/>
  <c r="K22" i="10"/>
  <c r="H23" i="10"/>
  <c r="I23" i="10"/>
  <c r="J23" i="10"/>
  <c r="K23" i="10"/>
  <c r="H24" i="10"/>
  <c r="I24" i="10"/>
  <c r="J24" i="10"/>
  <c r="K24" i="10"/>
  <c r="F15" i="10"/>
  <c r="F16" i="10"/>
  <c r="F17" i="10"/>
  <c r="F18" i="10"/>
  <c r="F19" i="10"/>
  <c r="F20" i="10"/>
  <c r="F21" i="10"/>
  <c r="F22" i="10"/>
  <c r="F23" i="10"/>
  <c r="F24" i="10"/>
  <c r="F7" i="6"/>
  <c r="F58" i="6" s="1"/>
  <c r="J58" i="6" s="1"/>
  <c r="L58" i="6" l="1"/>
  <c r="L61" i="6"/>
  <c r="D61" i="6"/>
  <c r="N49" i="6"/>
  <c r="K23" i="6"/>
  <c r="M23" i="6"/>
  <c r="N23" i="6" s="1"/>
  <c r="H23" i="6"/>
  <c r="L23" i="6"/>
  <c r="H61" i="6"/>
  <c r="F61" i="6"/>
  <c r="B12" i="6"/>
  <c r="J61" i="6"/>
  <c r="E3" i="6"/>
  <c r="J53" i="6"/>
  <c r="L45" i="6"/>
  <c r="N45" i="6" s="1"/>
  <c r="B8" i="6"/>
  <c r="C23" i="6"/>
  <c r="N21" i="6"/>
  <c r="M22" i="6"/>
  <c r="N22" i="6" s="1"/>
  <c r="F33" i="6"/>
  <c r="D36" i="6"/>
  <c r="H21" i="6"/>
  <c r="L53" i="6" l="1"/>
  <c r="N47" i="6"/>
  <c r="D39" i="6"/>
  <c r="D40" i="6" s="1"/>
  <c r="H33" i="6"/>
  <c r="F36" i="6"/>
  <c r="E53" i="6" l="1"/>
  <c r="E50" i="6"/>
  <c r="E49" i="6"/>
  <c r="E46" i="6"/>
  <c r="N53" i="6"/>
  <c r="D52" i="6"/>
  <c r="D51" i="6"/>
  <c r="E45" i="6"/>
  <c r="E48" i="6"/>
  <c r="E44" i="6"/>
  <c r="E47" i="6"/>
  <c r="F39" i="6"/>
  <c r="F40" i="6" s="1"/>
  <c r="J33" i="6"/>
  <c r="H36" i="6"/>
  <c r="D54" i="6" l="1"/>
  <c r="D56" i="6" s="1"/>
  <c r="D62" i="6" s="1"/>
  <c r="G53" i="6"/>
  <c r="G49" i="6"/>
  <c r="F51" i="6"/>
  <c r="F52" i="6"/>
  <c r="H52" i="6" s="1"/>
  <c r="J52" i="6" s="1"/>
  <c r="L52" i="6" s="1"/>
  <c r="N52" i="6" s="1"/>
  <c r="E52" i="6"/>
  <c r="E54" i="6" s="1"/>
  <c r="E51" i="6"/>
  <c r="G44" i="6"/>
  <c r="G50" i="6"/>
  <c r="G48" i="6"/>
  <c r="G47" i="6"/>
  <c r="G46" i="6"/>
  <c r="G45" i="6"/>
  <c r="H39" i="6"/>
  <c r="H40" i="6" s="1"/>
  <c r="L33" i="6"/>
  <c r="J36" i="6"/>
  <c r="F54" i="6" l="1"/>
  <c r="F56" i="6" s="1"/>
  <c r="D59" i="6"/>
  <c r="B10" i="6"/>
  <c r="I53" i="6"/>
  <c r="I49" i="6"/>
  <c r="F8" i="6"/>
  <c r="G52" i="6"/>
  <c r="H51" i="6"/>
  <c r="H54" i="6" s="1"/>
  <c r="G51" i="6"/>
  <c r="I45" i="6"/>
  <c r="I44" i="6"/>
  <c r="I50" i="6"/>
  <c r="I48" i="6"/>
  <c r="I47" i="6"/>
  <c r="I46" i="6"/>
  <c r="I52" i="6"/>
  <c r="J39" i="6"/>
  <c r="J40" i="6" s="1"/>
  <c r="N33" i="6"/>
  <c r="N36" i="6" s="1"/>
  <c r="L36" i="6"/>
  <c r="G54" i="6" l="1"/>
  <c r="K53" i="6"/>
  <c r="K49" i="6"/>
  <c r="F59" i="6"/>
  <c r="F62" i="6"/>
  <c r="K50" i="6"/>
  <c r="K48" i="6"/>
  <c r="K46" i="6"/>
  <c r="K45" i="6"/>
  <c r="K47" i="6"/>
  <c r="K44" i="6"/>
  <c r="K52" i="6"/>
  <c r="I51" i="6"/>
  <c r="I54" i="6" s="1"/>
  <c r="J51" i="6"/>
  <c r="J54" i="6" s="1"/>
  <c r="H56" i="6"/>
  <c r="L39" i="6"/>
  <c r="L40" i="6" s="1"/>
  <c r="N39" i="6"/>
  <c r="N40" i="6" s="1"/>
  <c r="M53" i="6" l="1"/>
  <c r="M49" i="6"/>
  <c r="H59" i="6"/>
  <c r="H66" i="6" s="1"/>
  <c r="H62" i="6"/>
  <c r="D70" i="6"/>
  <c r="F70" i="6"/>
  <c r="K51" i="6"/>
  <c r="K54" i="6" s="1"/>
  <c r="L51" i="6"/>
  <c r="L54" i="6" s="1"/>
  <c r="J56" i="6"/>
  <c r="M47" i="6"/>
  <c r="M46" i="6"/>
  <c r="M45" i="6"/>
  <c r="M52" i="6"/>
  <c r="M48" i="6"/>
  <c r="M44" i="6"/>
  <c r="M50" i="6"/>
  <c r="J59" i="6" l="1"/>
  <c r="J66" i="6" s="1"/>
  <c r="J62" i="6"/>
  <c r="H70" i="6"/>
  <c r="M51" i="6"/>
  <c r="M54" i="6" s="1"/>
  <c r="N51" i="6"/>
  <c r="L56" i="6"/>
  <c r="N54" i="6" l="1"/>
  <c r="N56" i="6" s="1"/>
  <c r="J70" i="6"/>
  <c r="L59" i="6"/>
  <c r="L66" i="6" s="1"/>
  <c r="L71" i="6" s="1"/>
  <c r="L62" i="6"/>
  <c r="J9" i="6"/>
  <c r="C65" i="6" s="1"/>
  <c r="C70" i="6" s="1"/>
  <c r="J71" i="6" s="1"/>
  <c r="L67" i="6" l="1"/>
  <c r="D71" i="6"/>
  <c r="F71" i="6"/>
  <c r="H71" i="6"/>
  <c r="M4" i="6" l="1"/>
  <c r="M3" i="6"/>
  <c r="M5" i="6"/>
  <c r="L68" i="6"/>
  <c r="L70" i="6" s="1"/>
  <c r="C72" i="6" s="1"/>
</calcChain>
</file>

<file path=xl/sharedStrings.xml><?xml version="1.0" encoding="utf-8"?>
<sst xmlns="http://schemas.openxmlformats.org/spreadsheetml/2006/main" count="141" uniqueCount="96">
  <si>
    <t>Income</t>
  </si>
  <si>
    <t>Loan Amortization</t>
  </si>
  <si>
    <t>Units</t>
  </si>
  <si>
    <t>GRM</t>
  </si>
  <si>
    <t>Property Address</t>
  </si>
  <si>
    <t>Unit</t>
  </si>
  <si>
    <t>Loan Amount</t>
  </si>
  <si>
    <t>Term</t>
  </si>
  <si>
    <t>Interest Rate</t>
  </si>
  <si>
    <t>Price/SqFt</t>
  </si>
  <si>
    <t>Lot Size (SqFt)</t>
  </si>
  <si>
    <t>Price/Unit</t>
  </si>
  <si>
    <t>Property Information</t>
  </si>
  <si>
    <t>Down Payment</t>
  </si>
  <si>
    <t>Monthly Payment</t>
  </si>
  <si>
    <t>DSCR</t>
  </si>
  <si>
    <t>Vacancy Allowance</t>
  </si>
  <si>
    <t>Effective Gross Income</t>
  </si>
  <si>
    <t>Gross Potential Income</t>
  </si>
  <si>
    <t>Average Unit Size</t>
  </si>
  <si>
    <t>Rent Roll</t>
  </si>
  <si>
    <t>% of EGI</t>
  </si>
  <si>
    <t>Cash-on-Cash Return</t>
  </si>
  <si>
    <t>Building Size (SqFt)</t>
  </si>
  <si>
    <t>Unit Type</t>
  </si>
  <si>
    <t>Rent</t>
  </si>
  <si>
    <t>Expenses</t>
  </si>
  <si>
    <t>Repairs and Maintenance</t>
  </si>
  <si>
    <t>Reserves &amp; Replacements</t>
  </si>
  <si>
    <t>Unit SF</t>
  </si>
  <si>
    <t>Actual Rent/SF</t>
  </si>
  <si>
    <t>Pro Forma Rent/Month</t>
  </si>
  <si>
    <t>Actual Rent/Year</t>
  </si>
  <si>
    <t>Actual Rent/Month</t>
  </si>
  <si>
    <t>Pro Forma Rent/Year</t>
  </si>
  <si>
    <t>Pro Forma Rent/SF</t>
  </si>
  <si>
    <t>Average Unit SF</t>
  </si>
  <si>
    <t>Potential Upside</t>
  </si>
  <si>
    <t>Total Units</t>
  </si>
  <si>
    <t>Actual Average Rent/Month</t>
  </si>
  <si>
    <t>Actual Total Rent/Month</t>
  </si>
  <si>
    <t>Pro Forma Total Rent/Month</t>
  </si>
  <si>
    <t>Upside %</t>
  </si>
  <si>
    <t>%</t>
  </si>
  <si>
    <t>Property Name</t>
  </si>
  <si>
    <t>Going-in Cap Rate</t>
  </si>
  <si>
    <t>Purchase Price</t>
  </si>
  <si>
    <t>Debt</t>
  </si>
  <si>
    <t>Residual Value</t>
  </si>
  <si>
    <t>Exit Cap Rate</t>
  </si>
  <si>
    <t>Exit GRM</t>
  </si>
  <si>
    <t>Exit Price/SqFt</t>
  </si>
  <si>
    <t>Total Acquisition Costs</t>
  </si>
  <si>
    <t>Closing/Acquisition Costs</t>
  </si>
  <si>
    <t>Closing Cost</t>
  </si>
  <si>
    <t>Loan Point Cost</t>
  </si>
  <si>
    <t>Miscellaneous Cost</t>
  </si>
  <si>
    <t>Inspection Cost</t>
  </si>
  <si>
    <t>Appraisal Cost</t>
  </si>
  <si>
    <t>Selling Costs</t>
  </si>
  <si>
    <t>Eixt Price/Unit</t>
  </si>
  <si>
    <t>Insurance</t>
  </si>
  <si>
    <t>Management</t>
  </si>
  <si>
    <t>Total Expenses</t>
  </si>
  <si>
    <t>Net Operating Income</t>
  </si>
  <si>
    <t>Inflation</t>
  </si>
  <si>
    <t>Upside/Month</t>
  </si>
  <si>
    <t>Upside/Year</t>
  </si>
  <si>
    <t>Vacancy</t>
  </si>
  <si>
    <t>Debt Service</t>
  </si>
  <si>
    <t>Renovation Cost</t>
  </si>
  <si>
    <t>Before Tax Cash Flow</t>
  </si>
  <si>
    <t>Year 0</t>
  </si>
  <si>
    <t>Returns</t>
  </si>
  <si>
    <t>Acquisition Capital</t>
  </si>
  <si>
    <t>Sale</t>
  </si>
  <si>
    <t>Loan Payoff</t>
  </si>
  <si>
    <t>Loan Balance</t>
  </si>
  <si>
    <t>Total Levered Cash Flow</t>
  </si>
  <si>
    <t>Levered IRR</t>
  </si>
  <si>
    <t>Plaza West</t>
  </si>
  <si>
    <t>3420 West Rose Lane, Phoenix AZ 85017</t>
  </si>
  <si>
    <t>Year Built/Renovated</t>
  </si>
  <si>
    <t>1962/2016</t>
  </si>
  <si>
    <t>1B/1B</t>
  </si>
  <si>
    <t>3B/2B</t>
  </si>
  <si>
    <t>Utility Reimbursement</t>
  </si>
  <si>
    <t>Other Income</t>
  </si>
  <si>
    <t>Property Taxes</t>
  </si>
  <si>
    <t>Utilities</t>
  </si>
  <si>
    <t>On-site Payroll</t>
  </si>
  <si>
    <t>Contract Services</t>
  </si>
  <si>
    <t>Marketing &amp; Promotions</t>
  </si>
  <si>
    <t>General &amp; Administrative</t>
  </si>
  <si>
    <t>Commission</t>
  </si>
  <si>
    <t>Total Selling Closts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</si>
</sst>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0\ &quot;Months&quot;"/>
    <numFmt numFmtId="167" formatCode="&quot;Year&quot;\ \1"/>
    <numFmt numFmtId="168" formatCode="&quot;Year&quot;\ 0"/>
    <numFmt numFmtId="169" formatCode="&quot;$&quot;#,###\ &quot;Per Unit&quot;"/>
    <numFmt numFmtId="170" formatCode="0\ &quot;Year Fixed&quot;"/>
  </numFmts>
  <fonts count="21">
    <font>
      <sz val="11"/>
      <color theme="1"/>
      <name val="Calibri"/>
      <family val="2"/>
      <scheme val="minor"/>
    </font>
    <font>
      <sz val="12"/>
      <color theme="1"/>
      <name val="Futura Bk BT"/>
      <family val="2"/>
    </font>
    <font>
      <sz val="12"/>
      <color theme="1"/>
      <name val="Futura Bk BT"/>
      <family val="2"/>
    </font>
    <font>
      <sz val="12"/>
      <color theme="1"/>
      <name val="Futura Bk BT"/>
      <family val="2"/>
    </font>
    <font>
      <sz val="12"/>
      <color theme="1"/>
      <name val="Futura Bk BT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6100"/>
      <name val="Futura Bk BT"/>
      <family val="2"/>
    </font>
    <font>
      <sz val="12"/>
      <color theme="0"/>
      <name val="Futura Bk BT"/>
      <family val="2"/>
    </font>
    <font>
      <b/>
      <sz val="12"/>
      <color theme="0"/>
      <name val="Futura Bk BT"/>
      <family val="2"/>
    </font>
    <font>
      <sz val="12"/>
      <name val="Futura Bk BT"/>
      <family val="2"/>
    </font>
    <font>
      <sz val="12"/>
      <color rgb="FF000000"/>
      <name val="Futura Bk BT"/>
      <family val="2"/>
    </font>
    <font>
      <sz val="12"/>
      <color rgb="FF0000FF"/>
      <name val="Futura Bk BT"/>
      <family val="2"/>
    </font>
    <font>
      <sz val="12"/>
      <color theme="1"/>
      <name val="Futura "/>
    </font>
    <font>
      <sz val="12"/>
      <color rgb="FF006A4D"/>
      <name val="Futura Bk BT"/>
      <family val="2"/>
    </font>
    <font>
      <sz val="12"/>
      <color rgb="FF006A4D"/>
      <name val="Futura "/>
    </font>
    <font>
      <b/>
      <sz val="12"/>
      <color theme="1"/>
      <name val="Futura Bk BT"/>
      <family val="2"/>
    </font>
    <font>
      <b/>
      <sz val="12"/>
      <color rgb="FF006100"/>
      <name val="Futura Bk BT"/>
      <family val="2"/>
    </font>
    <font>
      <b/>
      <sz val="12"/>
      <name val="Futura Bk BT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9" fontId="5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4" fillId="4" borderId="0" applyNumberFormat="0" applyBorder="0" applyAlignment="0" applyProtection="0"/>
  </cellStyleXfs>
  <cellXfs count="135">
    <xf numFmtId="0" fontId="0" fillId="0" borderId="0" xfId="0"/>
    <xf numFmtId="0" fontId="4" fillId="4" borderId="13" xfId="38" applyBorder="1"/>
    <xf numFmtId="6" fontId="3" fillId="4" borderId="13" xfId="38" applyNumberFormat="1" applyFont="1" applyBorder="1" applyAlignment="1">
      <alignment horizontal="center"/>
    </xf>
    <xf numFmtId="0" fontId="3" fillId="4" borderId="13" xfId="38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 applyProtection="1">
      <alignment horizontal="left"/>
    </xf>
    <xf numFmtId="3" fontId="9" fillId="2" borderId="1" xfId="36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9" fillId="2" borderId="1" xfId="36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right"/>
    </xf>
    <xf numFmtId="166" fontId="9" fillId="2" borderId="1" xfId="36" applyNumberFormat="1" applyFont="1" applyBorder="1" applyAlignment="1">
      <alignment horizontal="right" vertical="center"/>
    </xf>
    <xf numFmtId="10" fontId="9" fillId="2" borderId="1" xfId="36" applyNumberFormat="1" applyFont="1" applyBorder="1" applyAlignment="1">
      <alignment horizontal="right" vertical="center"/>
    </xf>
    <xf numFmtId="6" fontId="3" fillId="0" borderId="1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center"/>
    </xf>
    <xf numFmtId="6" fontId="9" fillId="2" borderId="1" xfId="36" applyNumberFormat="1" applyFont="1" applyBorder="1" applyAlignment="1">
      <alignment horizontal="center"/>
    </xf>
    <xf numFmtId="6" fontId="3" fillId="0" borderId="1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/>
    <xf numFmtId="9" fontId="13" fillId="0" borderId="0" xfId="0" applyNumberFormat="1" applyFont="1" applyAlignment="1">
      <alignment horizontal="center" vertical="center" wrapText="1" readingOrder="1"/>
    </xf>
    <xf numFmtId="6" fontId="13" fillId="0" borderId="0" xfId="0" applyNumberFormat="1" applyFont="1" applyAlignment="1">
      <alignment horizontal="center" vertical="center" wrapText="1" readingOrder="1"/>
    </xf>
    <xf numFmtId="6" fontId="12" fillId="0" borderId="0" xfId="0" applyNumberFormat="1" applyFont="1" applyAlignment="1">
      <alignment horizontal="center" vertical="center" wrapText="1"/>
    </xf>
    <xf numFmtId="8" fontId="13" fillId="0" borderId="0" xfId="0" applyNumberFormat="1" applyFont="1" applyAlignment="1">
      <alignment horizontal="center" vertical="center" wrapText="1" readingOrder="1"/>
    </xf>
    <xf numFmtId="6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center"/>
    </xf>
    <xf numFmtId="0" fontId="3" fillId="4" borderId="13" xfId="38" applyFont="1" applyBorder="1" applyAlignment="1">
      <alignment horizontal="center"/>
    </xf>
    <xf numFmtId="0" fontId="3" fillId="4" borderId="13" xfId="38" applyFont="1" applyBorder="1" applyAlignment="1">
      <alignment horizontal="center" vertical="center" wrapText="1" readingOrder="1"/>
    </xf>
    <xf numFmtId="9" fontId="3" fillId="4" borderId="13" xfId="38" applyNumberFormat="1" applyFont="1" applyBorder="1" applyAlignment="1">
      <alignment horizontal="center"/>
    </xf>
    <xf numFmtId="3" fontId="3" fillId="4" borderId="13" xfId="38" applyNumberFormat="1" applyFont="1" applyBorder="1" applyAlignment="1">
      <alignment horizontal="center"/>
    </xf>
    <xf numFmtId="5" fontId="3" fillId="4" borderId="13" xfId="38" applyNumberFormat="1" applyFont="1" applyBorder="1" applyAlignment="1">
      <alignment horizontal="center"/>
    </xf>
    <xf numFmtId="8" fontId="3" fillId="4" borderId="13" xfId="38" applyNumberFormat="1" applyFont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8" fontId="3" fillId="0" borderId="0" xfId="0" applyNumberFormat="1" applyFont="1"/>
    <xf numFmtId="0" fontId="11" fillId="3" borderId="6" xfId="37" applyFont="1" applyBorder="1" applyAlignment="1">
      <alignment vertical="center"/>
    </xf>
    <xf numFmtId="0" fontId="3" fillId="0" borderId="0" xfId="0" applyFont="1" applyAlignment="1">
      <alignment horizontal="right"/>
    </xf>
    <xf numFmtId="164" fontId="9" fillId="2" borderId="0" xfId="36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3" fillId="0" borderId="0" xfId="0" applyFont="1" applyAlignment="1">
      <alignment horizontal="left" indent="2"/>
    </xf>
    <xf numFmtId="6" fontId="9" fillId="2" borderId="0" xfId="36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14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9" fontId="3" fillId="0" borderId="9" xfId="0" applyNumberFormat="1" applyFont="1" applyBorder="1" applyAlignment="1">
      <alignment horizontal="center"/>
    </xf>
    <xf numFmtId="6" fontId="3" fillId="0" borderId="7" xfId="0" applyNumberFormat="1" applyFont="1" applyBorder="1" applyAlignment="1">
      <alignment horizontal="center"/>
    </xf>
    <xf numFmtId="6" fontId="9" fillId="2" borderId="6" xfId="36" applyNumberFormat="1" applyFont="1" applyBorder="1" applyAlignment="1">
      <alignment horizontal="center"/>
    </xf>
    <xf numFmtId="9" fontId="3" fillId="0" borderId="10" xfId="0" applyNumberFormat="1" applyFont="1" applyBorder="1" applyAlignment="1">
      <alignment horizontal="center"/>
    </xf>
    <xf numFmtId="6" fontId="9" fillId="2" borderId="11" xfId="36" applyNumberFormat="1" applyFont="1" applyBorder="1" applyAlignment="1">
      <alignment horizontal="center"/>
    </xf>
    <xf numFmtId="9" fontId="3" fillId="0" borderId="12" xfId="0" applyNumberFormat="1" applyFont="1" applyBorder="1" applyAlignment="1">
      <alignment horizontal="center"/>
    </xf>
    <xf numFmtId="6" fontId="3" fillId="0" borderId="0" xfId="0" applyNumberFormat="1" applyFont="1" applyFill="1" applyAlignment="1">
      <alignment horizontal="left"/>
    </xf>
    <xf numFmtId="0" fontId="15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left"/>
    </xf>
    <xf numFmtId="165" fontId="15" fillId="0" borderId="0" xfId="35" applyNumberFormat="1" applyFont="1" applyAlignment="1">
      <alignment horizontal="left"/>
    </xf>
    <xf numFmtId="9" fontId="15" fillId="0" borderId="0" xfId="0" applyNumberFormat="1" applyFont="1"/>
    <xf numFmtId="0" fontId="15" fillId="0" borderId="0" xfId="0" applyFont="1" applyAlignment="1">
      <alignment horizontal="left"/>
    </xf>
    <xf numFmtId="165" fontId="15" fillId="0" borderId="0" xfId="35" applyNumberFormat="1" applyFont="1"/>
    <xf numFmtId="6" fontId="3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5" fontId="3" fillId="0" borderId="13" xfId="0" applyNumberFormat="1" applyFont="1" applyBorder="1" applyAlignment="1">
      <alignment horizontal="center" vertical="center"/>
    </xf>
    <xf numFmtId="6" fontId="3" fillId="0" borderId="13" xfId="0" applyNumberFormat="1" applyFont="1" applyBorder="1" applyAlignment="1">
      <alignment horizontal="center" vertical="center"/>
    </xf>
    <xf numFmtId="8" fontId="3" fillId="0" borderId="1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6" fontId="3" fillId="0" borderId="0" xfId="0" applyNumberFormat="1" applyFont="1"/>
    <xf numFmtId="6" fontId="3" fillId="0" borderId="1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70" fontId="9" fillId="2" borderId="1" xfId="36" applyNumberFormat="1" applyFont="1" applyBorder="1" applyAlignment="1">
      <alignment horizontal="right" vertical="center"/>
    </xf>
    <xf numFmtId="6" fontId="3" fillId="0" borderId="1" xfId="0" applyNumberFormat="1" applyFont="1" applyBorder="1" applyAlignment="1"/>
    <xf numFmtId="6" fontId="3" fillId="0" borderId="1" xfId="35" applyNumberFormat="1" applyFont="1" applyBorder="1" applyAlignment="1"/>
    <xf numFmtId="4" fontId="3" fillId="0" borderId="1" xfId="0" applyNumberFormat="1" applyFont="1" applyBorder="1" applyAlignment="1">
      <alignment horizontal="center"/>
    </xf>
    <xf numFmtId="2" fontId="12" fillId="0" borderId="1" xfId="0" applyNumberFormat="1" applyFont="1" applyFill="1" applyBorder="1" applyAlignment="1">
      <alignment vertical="center"/>
    </xf>
    <xf numFmtId="165" fontId="3" fillId="0" borderId="1" xfId="35" applyNumberFormat="1" applyFont="1" applyBorder="1" applyAlignment="1"/>
    <xf numFmtId="5" fontId="3" fillId="0" borderId="0" xfId="0" applyNumberFormat="1" applyFont="1"/>
    <xf numFmtId="39" fontId="3" fillId="4" borderId="13" xfId="38" applyNumberFormat="1" applyFont="1" applyBorder="1" applyAlignment="1">
      <alignment horizontal="center"/>
    </xf>
    <xf numFmtId="37" fontId="3" fillId="4" borderId="13" xfId="38" applyNumberFormat="1" applyFont="1" applyBorder="1" applyAlignment="1">
      <alignment horizontal="center"/>
    </xf>
    <xf numFmtId="37" fontId="3" fillId="0" borderId="0" xfId="0" applyNumberFormat="1" applyFont="1"/>
    <xf numFmtId="0" fontId="16" fillId="0" borderId="0" xfId="0" applyFont="1" applyAlignment="1">
      <alignment horizontal="center" vertical="center" wrapText="1" readingOrder="1"/>
    </xf>
    <xf numFmtId="3" fontId="16" fillId="0" borderId="0" xfId="0" applyNumberFormat="1" applyFont="1" applyAlignment="1">
      <alignment horizontal="center" vertical="center" wrapText="1" readingOrder="1"/>
    </xf>
    <xf numFmtId="5" fontId="16" fillId="0" borderId="0" xfId="35" applyNumberFormat="1" applyFont="1" applyFill="1" applyBorder="1" applyAlignment="1">
      <alignment horizontal="center" vertical="center" wrapText="1" readingOrder="1"/>
    </xf>
    <xf numFmtId="6" fontId="16" fillId="0" borderId="0" xfId="0" applyNumberFormat="1" applyFont="1" applyAlignment="1">
      <alignment horizontal="center" vertical="center" wrapText="1" readingOrder="1"/>
    </xf>
    <xf numFmtId="0" fontId="16" fillId="0" borderId="13" xfId="0" applyFont="1" applyBorder="1" applyAlignment="1">
      <alignment horizontal="center" vertical="center" wrapText="1" readingOrder="1"/>
    </xf>
    <xf numFmtId="0" fontId="17" fillId="0" borderId="0" xfId="0" applyFont="1" applyAlignment="1">
      <alignment horizontal="center" vertical="center" wrapText="1" readingOrder="1"/>
    </xf>
    <xf numFmtId="10" fontId="4" fillId="4" borderId="13" xfId="38" applyNumberFormat="1" applyBorder="1"/>
    <xf numFmtId="3" fontId="9" fillId="2" borderId="0" xfId="36" applyNumberFormat="1" applyAlignment="1">
      <alignment horizontal="center" vertical="center" wrapText="1"/>
    </xf>
    <xf numFmtId="0" fontId="9" fillId="2" borderId="0" xfId="36" applyAlignment="1">
      <alignment horizontal="center" vertical="center"/>
    </xf>
    <xf numFmtId="1" fontId="9" fillId="2" borderId="0" xfId="36" applyNumberFormat="1" applyAlignment="1">
      <alignment horizontal="center"/>
    </xf>
    <xf numFmtId="6" fontId="9" fillId="2" borderId="0" xfId="36" applyNumberFormat="1" applyAlignment="1">
      <alignment horizontal="center" vertical="center" wrapText="1" readingOrder="1"/>
    </xf>
    <xf numFmtId="5" fontId="9" fillId="2" borderId="0" xfId="36" applyNumberFormat="1" applyAlignment="1">
      <alignment horizontal="center"/>
    </xf>
    <xf numFmtId="0" fontId="3" fillId="0" borderId="8" xfId="0" applyFont="1" applyBorder="1" applyAlignment="1">
      <alignment horizontal="left"/>
    </xf>
    <xf numFmtId="10" fontId="3" fillId="0" borderId="8" xfId="1" applyNumberFormat="1" applyFont="1" applyBorder="1" applyAlignment="1">
      <alignment horizontal="center"/>
    </xf>
    <xf numFmtId="0" fontId="2" fillId="0" borderId="1" xfId="0" applyFont="1" applyBorder="1" applyAlignment="1" applyProtection="1">
      <alignment horizontal="left"/>
    </xf>
    <xf numFmtId="1" fontId="9" fillId="2" borderId="1" xfId="36" quotePrefix="1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indent="2"/>
    </xf>
    <xf numFmtId="0" fontId="1" fillId="0" borderId="1" xfId="0" applyFont="1" applyBorder="1" applyAlignment="1">
      <alignment horizontal="left"/>
    </xf>
    <xf numFmtId="10" fontId="3" fillId="0" borderId="1" xfId="0" applyNumberFormat="1" applyFont="1" applyBorder="1" applyAlignment="1">
      <alignment horizontal="center"/>
    </xf>
    <xf numFmtId="6" fontId="19" fillId="2" borderId="7" xfId="36" applyNumberFormat="1" applyFont="1" applyBorder="1" applyAlignment="1">
      <alignment horizontal="center"/>
    </xf>
    <xf numFmtId="6" fontId="19" fillId="2" borderId="6" xfId="36" applyNumberFormat="1" applyFont="1" applyBorder="1" applyAlignment="1">
      <alignment horizontal="center"/>
    </xf>
    <xf numFmtId="6" fontId="19" fillId="2" borderId="0" xfId="36" applyNumberFormat="1" applyFont="1" applyAlignment="1">
      <alignment horizontal="center"/>
    </xf>
    <xf numFmtId="164" fontId="19" fillId="2" borderId="0" xfId="36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6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9" fillId="2" borderId="1" xfId="36" applyNumberFormat="1" applyFont="1" applyBorder="1" applyAlignment="1">
      <alignment horizontal="right"/>
    </xf>
    <xf numFmtId="3" fontId="19" fillId="2" borderId="1" xfId="36" applyNumberFormat="1" applyFont="1" applyBorder="1" applyAlignment="1">
      <alignment horizontal="center"/>
    </xf>
    <xf numFmtId="165" fontId="19" fillId="2" borderId="1" xfId="36" applyNumberFormat="1" applyFont="1" applyBorder="1" applyAlignment="1">
      <alignment horizontal="center"/>
    </xf>
    <xf numFmtId="164" fontId="19" fillId="2" borderId="1" xfId="1" applyNumberFormat="1" applyFont="1" applyFill="1" applyBorder="1" applyAlignment="1">
      <alignment horizontal="right"/>
    </xf>
    <xf numFmtId="10" fontId="19" fillId="2" borderId="1" xfId="1" applyNumberFormat="1" applyFont="1" applyFill="1" applyBorder="1" applyAlignment="1">
      <alignment horizontal="right"/>
    </xf>
    <xf numFmtId="6" fontId="19" fillId="2" borderId="1" xfId="36" applyNumberFormat="1" applyFont="1" applyBorder="1" applyAlignment="1"/>
    <xf numFmtId="10" fontId="19" fillId="2" borderId="1" xfId="36" applyNumberFormat="1" applyFont="1" applyBorder="1" applyAlignment="1">
      <alignment horizontal="center"/>
    </xf>
    <xf numFmtId="169" fontId="19" fillId="2" borderId="1" xfId="36" applyNumberFormat="1" applyFont="1" applyBorder="1" applyAlignment="1">
      <alignment horizontal="right"/>
    </xf>
    <xf numFmtId="6" fontId="19" fillId="2" borderId="0" xfId="36" applyNumberFormat="1" applyFont="1" applyAlignment="1">
      <alignment horizontal="center" vertical="center" wrapText="1" readingOrder="1"/>
    </xf>
    <xf numFmtId="0" fontId="10" fillId="3" borderId="0" xfId="37" applyFont="1" applyAlignment="1">
      <alignment horizontal="center" vertical="center" wrapText="1" readingOrder="1"/>
    </xf>
    <xf numFmtId="0" fontId="10" fillId="3" borderId="0" xfId="37" applyFont="1" applyAlignment="1">
      <alignment horizontal="center"/>
    </xf>
    <xf numFmtId="0" fontId="3" fillId="0" borderId="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1" fillId="3" borderId="0" xfId="37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1" fillId="3" borderId="5" xfId="37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0" fontId="3" fillId="0" borderId="1" xfId="1" applyNumberFormat="1" applyFont="1" applyBorder="1" applyAlignment="1">
      <alignment horizontal="center"/>
    </xf>
  </cellXfs>
  <cellStyles count="39">
    <cellStyle name="20% - Accent5" xfId="38" builtinId="46"/>
    <cellStyle name="Accent5" xfId="37" builtinId="45"/>
    <cellStyle name="Currency" xfId="35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Good" xfId="36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Normal 2" xfId="2" xr:uid="{00000000-0005-0000-0000-000022000000}"/>
    <cellStyle name="Percent" xfId="1" builtinId="5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511A-67FB-4972-B274-3CD21F0DA75A}">
  <dimension ref="A1:L53"/>
  <sheetViews>
    <sheetView zoomScaleNormal="100" workbookViewId="0">
      <selection activeCell="K33" sqref="K33"/>
    </sheetView>
  </sheetViews>
  <sheetFormatPr defaultRowHeight="15"/>
  <cols>
    <col min="1" max="1" width="10.28515625" style="57" bestFit="1" customWidth="1"/>
    <col min="2" max="2" width="13.85546875" style="57" bestFit="1" customWidth="1"/>
    <col min="3" max="3" width="10.5703125" style="57" bestFit="1" customWidth="1"/>
    <col min="4" max="4" width="17" style="57" bestFit="1" customWidth="1"/>
    <col min="5" max="5" width="14.7109375" style="57" bestFit="1" customWidth="1"/>
    <col min="6" max="6" width="11.42578125" style="57" bestFit="1" customWidth="1"/>
    <col min="7" max="7" width="17" style="57" bestFit="1" customWidth="1"/>
    <col min="8" max="10" width="15.140625" style="57" bestFit="1" customWidth="1"/>
    <col min="11" max="11" width="8.28515625" style="57" customWidth="1"/>
    <col min="12" max="12" width="9.140625" style="57"/>
    <col min="13" max="13" width="9.85546875" style="57" bestFit="1" customWidth="1"/>
    <col min="14" max="14" width="10.7109375" style="57" bestFit="1" customWidth="1"/>
    <col min="15" max="15" width="9.140625" style="57"/>
    <col min="16" max="16" width="12.42578125" style="57" bestFit="1" customWidth="1"/>
    <col min="17" max="17" width="22" style="57" bestFit="1" customWidth="1"/>
    <col min="18" max="18" width="18" style="57" customWidth="1"/>
    <col min="19" max="19" width="14.7109375" style="57" bestFit="1" customWidth="1"/>
    <col min="20" max="20" width="12.140625" style="57" bestFit="1" customWidth="1"/>
    <col min="21" max="21" width="17" style="57" bestFit="1" customWidth="1"/>
    <col min="22" max="22" width="22.7109375" style="57" bestFit="1" customWidth="1"/>
    <col min="23" max="24" width="15.140625" style="57" bestFit="1" customWidth="1"/>
    <col min="25" max="25" width="9.140625" style="57"/>
    <col min="26" max="26" width="8.28515625" style="57" bestFit="1" customWidth="1"/>
    <col min="27" max="16384" width="9.140625" style="57"/>
  </cols>
  <sheetData>
    <row r="1" spans="1:12" ht="15.75">
      <c r="A1" s="22"/>
      <c r="B1" s="22"/>
      <c r="C1" s="22"/>
      <c r="D1" s="22"/>
      <c r="E1" s="22"/>
      <c r="F1" s="22"/>
      <c r="G1" s="124" t="s">
        <v>37</v>
      </c>
      <c r="H1" s="124"/>
      <c r="I1" s="124"/>
      <c r="J1" s="124"/>
      <c r="K1" s="124"/>
    </row>
    <row r="2" spans="1:12" ht="15" customHeight="1">
      <c r="A2" s="123" t="s">
        <v>5</v>
      </c>
      <c r="B2" s="123" t="s">
        <v>24</v>
      </c>
      <c r="C2" s="123" t="s">
        <v>29</v>
      </c>
      <c r="D2" s="123" t="s">
        <v>33</v>
      </c>
      <c r="E2" s="123" t="s">
        <v>32</v>
      </c>
      <c r="F2" s="123" t="s">
        <v>30</v>
      </c>
      <c r="G2" s="123" t="s">
        <v>31</v>
      </c>
      <c r="H2" s="123" t="s">
        <v>34</v>
      </c>
      <c r="I2" s="123" t="s">
        <v>35</v>
      </c>
      <c r="J2" s="123" t="s">
        <v>66</v>
      </c>
      <c r="K2" s="123" t="s">
        <v>42</v>
      </c>
      <c r="L2" s="58"/>
    </row>
    <row r="3" spans="1:12" ht="15" customHeight="1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58"/>
    </row>
    <row r="4" spans="1:12" ht="15" customHeight="1">
      <c r="A4" s="102">
        <v>1</v>
      </c>
      <c r="B4" s="86" t="s">
        <v>84</v>
      </c>
      <c r="C4" s="87">
        <v>690</v>
      </c>
      <c r="D4" s="88">
        <v>750</v>
      </c>
      <c r="E4" s="24">
        <f t="shared" ref="E4:E14" si="0">D4*12</f>
        <v>9000</v>
      </c>
      <c r="F4" s="26">
        <f t="shared" ref="F4:F14" si="1">D4/C4</f>
        <v>1.0869565217391304</v>
      </c>
      <c r="G4" s="89">
        <v>775</v>
      </c>
      <c r="H4" s="24">
        <f t="shared" ref="H4:H14" si="2">G4*12</f>
        <v>9300</v>
      </c>
      <c r="I4" s="26">
        <f t="shared" ref="I4:I14" si="3">G4/C4</f>
        <v>1.1231884057971016</v>
      </c>
      <c r="J4" s="65">
        <f t="shared" ref="J4:J14" si="4">G4-D4</f>
        <v>25</v>
      </c>
      <c r="K4" s="66">
        <f t="shared" ref="K4:K14" si="5">G4/D4-1</f>
        <v>3.3333333333333437E-2</v>
      </c>
      <c r="L4" s="58"/>
    </row>
    <row r="5" spans="1:12" ht="15" customHeight="1">
      <c r="A5" s="102">
        <v>2</v>
      </c>
      <c r="B5" s="86" t="s">
        <v>84</v>
      </c>
      <c r="C5" s="87">
        <v>690</v>
      </c>
      <c r="D5" s="88">
        <v>750</v>
      </c>
      <c r="E5" s="24">
        <f t="shared" si="0"/>
        <v>9000</v>
      </c>
      <c r="F5" s="26">
        <f t="shared" si="1"/>
        <v>1.0869565217391304</v>
      </c>
      <c r="G5" s="89">
        <v>775</v>
      </c>
      <c r="H5" s="24">
        <f t="shared" si="2"/>
        <v>9300</v>
      </c>
      <c r="I5" s="26">
        <f t="shared" si="3"/>
        <v>1.1231884057971016</v>
      </c>
      <c r="J5" s="65">
        <f t="shared" si="4"/>
        <v>25</v>
      </c>
      <c r="K5" s="66">
        <f t="shared" si="5"/>
        <v>3.3333333333333437E-2</v>
      </c>
      <c r="L5" s="58"/>
    </row>
    <row r="6" spans="1:12" ht="15" customHeight="1">
      <c r="A6" s="102">
        <v>3</v>
      </c>
      <c r="B6" s="86" t="s">
        <v>84</v>
      </c>
      <c r="C6" s="87">
        <v>690</v>
      </c>
      <c r="D6" s="88">
        <v>750</v>
      </c>
      <c r="E6" s="24">
        <f t="shared" si="0"/>
        <v>9000</v>
      </c>
      <c r="F6" s="26">
        <f t="shared" si="1"/>
        <v>1.0869565217391304</v>
      </c>
      <c r="G6" s="89">
        <v>775</v>
      </c>
      <c r="H6" s="24">
        <f t="shared" si="2"/>
        <v>9300</v>
      </c>
      <c r="I6" s="26">
        <f t="shared" si="3"/>
        <v>1.1231884057971016</v>
      </c>
      <c r="J6" s="65">
        <f t="shared" si="4"/>
        <v>25</v>
      </c>
      <c r="K6" s="66">
        <f t="shared" si="5"/>
        <v>3.3333333333333437E-2</v>
      </c>
      <c r="L6" s="58"/>
    </row>
    <row r="7" spans="1:12" ht="15" customHeight="1">
      <c r="A7" s="102">
        <v>4</v>
      </c>
      <c r="B7" s="86" t="s">
        <v>84</v>
      </c>
      <c r="C7" s="87">
        <v>690</v>
      </c>
      <c r="D7" s="88">
        <v>750</v>
      </c>
      <c r="E7" s="24">
        <f t="shared" si="0"/>
        <v>9000</v>
      </c>
      <c r="F7" s="26">
        <f t="shared" si="1"/>
        <v>1.0869565217391304</v>
      </c>
      <c r="G7" s="89">
        <v>775</v>
      </c>
      <c r="H7" s="24">
        <f t="shared" si="2"/>
        <v>9300</v>
      </c>
      <c r="I7" s="26">
        <f t="shared" si="3"/>
        <v>1.1231884057971016</v>
      </c>
      <c r="J7" s="65">
        <f t="shared" si="4"/>
        <v>25</v>
      </c>
      <c r="K7" s="66">
        <f t="shared" si="5"/>
        <v>3.3333333333333437E-2</v>
      </c>
      <c r="L7" s="58"/>
    </row>
    <row r="8" spans="1:12" ht="15" customHeight="1">
      <c r="A8" s="102">
        <v>5</v>
      </c>
      <c r="B8" s="86" t="s">
        <v>84</v>
      </c>
      <c r="C8" s="87">
        <v>690</v>
      </c>
      <c r="D8" s="88">
        <v>750</v>
      </c>
      <c r="E8" s="24">
        <f t="shared" si="0"/>
        <v>9000</v>
      </c>
      <c r="F8" s="26">
        <f t="shared" si="1"/>
        <v>1.0869565217391304</v>
      </c>
      <c r="G8" s="89">
        <v>775</v>
      </c>
      <c r="H8" s="24">
        <f t="shared" si="2"/>
        <v>9300</v>
      </c>
      <c r="I8" s="26">
        <f t="shared" si="3"/>
        <v>1.1231884057971016</v>
      </c>
      <c r="J8" s="65">
        <f t="shared" si="4"/>
        <v>25</v>
      </c>
      <c r="K8" s="66">
        <f t="shared" si="5"/>
        <v>3.3333333333333437E-2</v>
      </c>
      <c r="L8" s="58"/>
    </row>
    <row r="9" spans="1:12" ht="15" customHeight="1">
      <c r="A9" s="102">
        <v>6</v>
      </c>
      <c r="B9" s="86" t="s">
        <v>84</v>
      </c>
      <c r="C9" s="87">
        <v>690</v>
      </c>
      <c r="D9" s="88">
        <v>750</v>
      </c>
      <c r="E9" s="24">
        <f t="shared" si="0"/>
        <v>9000</v>
      </c>
      <c r="F9" s="26">
        <f t="shared" si="1"/>
        <v>1.0869565217391304</v>
      </c>
      <c r="G9" s="89">
        <v>775</v>
      </c>
      <c r="H9" s="24">
        <f t="shared" si="2"/>
        <v>9300</v>
      </c>
      <c r="I9" s="26">
        <f t="shared" si="3"/>
        <v>1.1231884057971016</v>
      </c>
      <c r="J9" s="65">
        <f t="shared" si="4"/>
        <v>25</v>
      </c>
      <c r="K9" s="66">
        <f t="shared" si="5"/>
        <v>3.3333333333333437E-2</v>
      </c>
      <c r="L9" s="58"/>
    </row>
    <row r="10" spans="1:12" ht="15" customHeight="1">
      <c r="A10" s="102">
        <v>7</v>
      </c>
      <c r="B10" s="86" t="s">
        <v>84</v>
      </c>
      <c r="C10" s="87">
        <v>690</v>
      </c>
      <c r="D10" s="88">
        <v>750</v>
      </c>
      <c r="E10" s="24">
        <f t="shared" si="0"/>
        <v>9000</v>
      </c>
      <c r="F10" s="26">
        <f t="shared" si="1"/>
        <v>1.0869565217391304</v>
      </c>
      <c r="G10" s="89">
        <v>775</v>
      </c>
      <c r="H10" s="24">
        <f t="shared" si="2"/>
        <v>9300</v>
      </c>
      <c r="I10" s="26">
        <f t="shared" si="3"/>
        <v>1.1231884057971016</v>
      </c>
      <c r="J10" s="65">
        <f t="shared" si="4"/>
        <v>25</v>
      </c>
      <c r="K10" s="66">
        <f t="shared" si="5"/>
        <v>3.3333333333333437E-2</v>
      </c>
      <c r="L10" s="58"/>
    </row>
    <row r="11" spans="1:12" ht="15" customHeight="1">
      <c r="A11" s="102">
        <v>8</v>
      </c>
      <c r="B11" s="86" t="s">
        <v>84</v>
      </c>
      <c r="C11" s="87">
        <v>690</v>
      </c>
      <c r="D11" s="88">
        <v>750</v>
      </c>
      <c r="E11" s="24">
        <f t="shared" si="0"/>
        <v>9000</v>
      </c>
      <c r="F11" s="26">
        <f t="shared" si="1"/>
        <v>1.0869565217391304</v>
      </c>
      <c r="G11" s="89">
        <v>775</v>
      </c>
      <c r="H11" s="24">
        <f t="shared" si="2"/>
        <v>9300</v>
      </c>
      <c r="I11" s="26">
        <f t="shared" si="3"/>
        <v>1.1231884057971016</v>
      </c>
      <c r="J11" s="65">
        <f t="shared" si="4"/>
        <v>25</v>
      </c>
      <c r="K11" s="66">
        <f t="shared" si="5"/>
        <v>3.3333333333333437E-2</v>
      </c>
      <c r="L11" s="58"/>
    </row>
    <row r="12" spans="1:12" ht="15" customHeight="1">
      <c r="A12" s="102">
        <v>9</v>
      </c>
      <c r="B12" s="86" t="s">
        <v>84</v>
      </c>
      <c r="C12" s="87">
        <v>690</v>
      </c>
      <c r="D12" s="88">
        <v>750</v>
      </c>
      <c r="E12" s="24">
        <f t="shared" si="0"/>
        <v>9000</v>
      </c>
      <c r="F12" s="26">
        <f t="shared" si="1"/>
        <v>1.0869565217391304</v>
      </c>
      <c r="G12" s="89">
        <v>775</v>
      </c>
      <c r="H12" s="24">
        <f t="shared" si="2"/>
        <v>9300</v>
      </c>
      <c r="I12" s="26">
        <f t="shared" si="3"/>
        <v>1.1231884057971016</v>
      </c>
      <c r="J12" s="65">
        <f t="shared" si="4"/>
        <v>25</v>
      </c>
      <c r="K12" s="66">
        <f t="shared" si="5"/>
        <v>3.3333333333333437E-2</v>
      </c>
      <c r="L12" s="58"/>
    </row>
    <row r="13" spans="1:12" ht="15" customHeight="1">
      <c r="A13" s="102">
        <v>10</v>
      </c>
      <c r="B13" s="86" t="s">
        <v>84</v>
      </c>
      <c r="C13" s="87">
        <v>690</v>
      </c>
      <c r="D13" s="88">
        <v>750</v>
      </c>
      <c r="E13" s="24">
        <f t="shared" si="0"/>
        <v>9000</v>
      </c>
      <c r="F13" s="26">
        <f t="shared" si="1"/>
        <v>1.0869565217391304</v>
      </c>
      <c r="G13" s="89">
        <v>775</v>
      </c>
      <c r="H13" s="24">
        <f t="shared" si="2"/>
        <v>9300</v>
      </c>
      <c r="I13" s="26">
        <f t="shared" si="3"/>
        <v>1.1231884057971016</v>
      </c>
      <c r="J13" s="65">
        <f t="shared" si="4"/>
        <v>25</v>
      </c>
      <c r="K13" s="66">
        <f t="shared" si="5"/>
        <v>3.3333333333333437E-2</v>
      </c>
      <c r="L13" s="58"/>
    </row>
    <row r="14" spans="1:12" ht="15" customHeight="1">
      <c r="A14" s="102">
        <v>11</v>
      </c>
      <c r="B14" s="86" t="s">
        <v>84</v>
      </c>
      <c r="C14" s="87">
        <v>690</v>
      </c>
      <c r="D14" s="88">
        <v>750</v>
      </c>
      <c r="E14" s="24">
        <f t="shared" si="0"/>
        <v>9000</v>
      </c>
      <c r="F14" s="26">
        <f t="shared" si="1"/>
        <v>1.0869565217391304</v>
      </c>
      <c r="G14" s="89">
        <v>775</v>
      </c>
      <c r="H14" s="24">
        <f t="shared" si="2"/>
        <v>9300</v>
      </c>
      <c r="I14" s="26">
        <f t="shared" si="3"/>
        <v>1.1231884057971016</v>
      </c>
      <c r="J14" s="65">
        <f t="shared" si="4"/>
        <v>25</v>
      </c>
      <c r="K14" s="66">
        <f t="shared" si="5"/>
        <v>3.3333333333333437E-2</v>
      </c>
      <c r="L14" s="58"/>
    </row>
    <row r="15" spans="1:12" ht="15.75">
      <c r="A15" s="102">
        <v>12</v>
      </c>
      <c r="B15" s="86" t="s">
        <v>84</v>
      </c>
      <c r="C15" s="87">
        <v>690</v>
      </c>
      <c r="D15" s="88">
        <v>750</v>
      </c>
      <c r="E15" s="24">
        <f t="shared" ref="E15:E31" si="6">D15*12</f>
        <v>9000</v>
      </c>
      <c r="F15" s="26">
        <f t="shared" ref="F15:F31" si="7">D15/C15</f>
        <v>1.0869565217391304</v>
      </c>
      <c r="G15" s="89">
        <v>775</v>
      </c>
      <c r="H15" s="24">
        <f t="shared" ref="H15:H24" si="8">G15*12</f>
        <v>9300</v>
      </c>
      <c r="I15" s="26">
        <f t="shared" ref="I15:I24" si="9">G15/C15</f>
        <v>1.1231884057971016</v>
      </c>
      <c r="J15" s="65">
        <f t="shared" ref="J15:J31" si="10">G15-D15</f>
        <v>25</v>
      </c>
      <c r="K15" s="66">
        <f t="shared" ref="K15:K31" si="11">G15/D15-1</f>
        <v>3.3333333333333437E-2</v>
      </c>
    </row>
    <row r="16" spans="1:12" ht="15.75">
      <c r="A16" s="102">
        <v>13</v>
      </c>
      <c r="B16" s="86" t="s">
        <v>84</v>
      </c>
      <c r="C16" s="87">
        <v>690</v>
      </c>
      <c r="D16" s="88">
        <v>750</v>
      </c>
      <c r="E16" s="24">
        <f t="shared" si="6"/>
        <v>9000</v>
      </c>
      <c r="F16" s="26">
        <f t="shared" si="7"/>
        <v>1.0869565217391304</v>
      </c>
      <c r="G16" s="89">
        <v>775</v>
      </c>
      <c r="H16" s="24">
        <f t="shared" si="8"/>
        <v>9300</v>
      </c>
      <c r="I16" s="26">
        <f t="shared" si="9"/>
        <v>1.1231884057971016</v>
      </c>
      <c r="J16" s="65">
        <f t="shared" si="10"/>
        <v>25</v>
      </c>
      <c r="K16" s="66">
        <f t="shared" si="11"/>
        <v>3.3333333333333437E-2</v>
      </c>
    </row>
    <row r="17" spans="1:11" ht="15.75">
      <c r="A17" s="102">
        <v>14</v>
      </c>
      <c r="B17" s="86" t="s">
        <v>84</v>
      </c>
      <c r="C17" s="87">
        <v>690</v>
      </c>
      <c r="D17" s="88">
        <v>750</v>
      </c>
      <c r="E17" s="24">
        <f t="shared" si="6"/>
        <v>9000</v>
      </c>
      <c r="F17" s="26">
        <f t="shared" si="7"/>
        <v>1.0869565217391304</v>
      </c>
      <c r="G17" s="89">
        <v>775</v>
      </c>
      <c r="H17" s="24">
        <f t="shared" si="8"/>
        <v>9300</v>
      </c>
      <c r="I17" s="26">
        <f t="shared" si="9"/>
        <v>1.1231884057971016</v>
      </c>
      <c r="J17" s="65">
        <f t="shared" si="10"/>
        <v>25</v>
      </c>
      <c r="K17" s="66">
        <f t="shared" si="11"/>
        <v>3.3333333333333437E-2</v>
      </c>
    </row>
    <row r="18" spans="1:11" ht="15.75">
      <c r="A18" s="102">
        <v>15</v>
      </c>
      <c r="B18" s="86" t="s">
        <v>84</v>
      </c>
      <c r="C18" s="87">
        <v>690</v>
      </c>
      <c r="D18" s="88">
        <v>750</v>
      </c>
      <c r="E18" s="24">
        <f t="shared" si="6"/>
        <v>9000</v>
      </c>
      <c r="F18" s="26">
        <f t="shared" si="7"/>
        <v>1.0869565217391304</v>
      </c>
      <c r="G18" s="89">
        <v>775</v>
      </c>
      <c r="H18" s="24">
        <f t="shared" si="8"/>
        <v>9300</v>
      </c>
      <c r="I18" s="26">
        <f t="shared" si="9"/>
        <v>1.1231884057971016</v>
      </c>
      <c r="J18" s="65">
        <f t="shared" si="10"/>
        <v>25</v>
      </c>
      <c r="K18" s="66">
        <f t="shared" si="11"/>
        <v>3.3333333333333437E-2</v>
      </c>
    </row>
    <row r="19" spans="1:11" ht="15.75">
      <c r="A19" s="102">
        <v>16</v>
      </c>
      <c r="B19" s="86" t="s">
        <v>84</v>
      </c>
      <c r="C19" s="87">
        <v>690</v>
      </c>
      <c r="D19" s="88">
        <v>750</v>
      </c>
      <c r="E19" s="24">
        <f t="shared" si="6"/>
        <v>9000</v>
      </c>
      <c r="F19" s="26">
        <f t="shared" si="7"/>
        <v>1.0869565217391304</v>
      </c>
      <c r="G19" s="89">
        <v>775</v>
      </c>
      <c r="H19" s="24">
        <f t="shared" si="8"/>
        <v>9300</v>
      </c>
      <c r="I19" s="26">
        <f t="shared" si="9"/>
        <v>1.1231884057971016</v>
      </c>
      <c r="J19" s="65">
        <f t="shared" si="10"/>
        <v>25</v>
      </c>
      <c r="K19" s="66">
        <f t="shared" si="11"/>
        <v>3.3333333333333437E-2</v>
      </c>
    </row>
    <row r="20" spans="1:11" ht="15.75">
      <c r="A20" s="102">
        <v>17</v>
      </c>
      <c r="B20" s="86" t="s">
        <v>85</v>
      </c>
      <c r="C20" s="87">
        <v>1070</v>
      </c>
      <c r="D20" s="88">
        <v>975</v>
      </c>
      <c r="E20" s="24">
        <f t="shared" si="6"/>
        <v>11700</v>
      </c>
      <c r="F20" s="26">
        <f t="shared" si="7"/>
        <v>0.91121495327102808</v>
      </c>
      <c r="G20" s="89">
        <v>1025</v>
      </c>
      <c r="H20" s="24">
        <f t="shared" si="8"/>
        <v>12300</v>
      </c>
      <c r="I20" s="26">
        <f t="shared" si="9"/>
        <v>0.95794392523364491</v>
      </c>
      <c r="J20" s="65">
        <f t="shared" si="10"/>
        <v>50</v>
      </c>
      <c r="K20" s="66">
        <f t="shared" si="11"/>
        <v>5.1282051282051322E-2</v>
      </c>
    </row>
    <row r="21" spans="1:11" ht="15.75">
      <c r="A21" s="102">
        <v>18</v>
      </c>
      <c r="B21" s="86" t="s">
        <v>85</v>
      </c>
      <c r="C21" s="87">
        <v>1070</v>
      </c>
      <c r="D21" s="88">
        <v>975</v>
      </c>
      <c r="E21" s="24">
        <f t="shared" si="6"/>
        <v>11700</v>
      </c>
      <c r="F21" s="26">
        <f t="shared" si="7"/>
        <v>0.91121495327102808</v>
      </c>
      <c r="G21" s="89">
        <v>1025</v>
      </c>
      <c r="H21" s="24">
        <f t="shared" si="8"/>
        <v>12300</v>
      </c>
      <c r="I21" s="26">
        <f t="shared" si="9"/>
        <v>0.95794392523364491</v>
      </c>
      <c r="J21" s="65">
        <f t="shared" si="10"/>
        <v>50</v>
      </c>
      <c r="K21" s="66">
        <f t="shared" si="11"/>
        <v>5.1282051282051322E-2</v>
      </c>
    </row>
    <row r="22" spans="1:11" ht="15.75">
      <c r="A22" s="102">
        <v>19</v>
      </c>
      <c r="B22" s="86" t="s">
        <v>85</v>
      </c>
      <c r="C22" s="87">
        <v>1070</v>
      </c>
      <c r="D22" s="88">
        <v>975</v>
      </c>
      <c r="E22" s="24">
        <f t="shared" si="6"/>
        <v>11700</v>
      </c>
      <c r="F22" s="26">
        <f t="shared" si="7"/>
        <v>0.91121495327102808</v>
      </c>
      <c r="G22" s="89">
        <v>1025</v>
      </c>
      <c r="H22" s="24">
        <f t="shared" si="8"/>
        <v>12300</v>
      </c>
      <c r="I22" s="26">
        <f t="shared" si="9"/>
        <v>0.95794392523364491</v>
      </c>
      <c r="J22" s="65">
        <f t="shared" si="10"/>
        <v>50</v>
      </c>
      <c r="K22" s="66">
        <f t="shared" si="11"/>
        <v>5.1282051282051322E-2</v>
      </c>
    </row>
    <row r="23" spans="1:11" ht="15.75">
      <c r="A23" s="102">
        <v>20</v>
      </c>
      <c r="B23" s="86" t="s">
        <v>85</v>
      </c>
      <c r="C23" s="87">
        <v>1070</v>
      </c>
      <c r="D23" s="88">
        <v>975</v>
      </c>
      <c r="E23" s="24">
        <f t="shared" si="6"/>
        <v>11700</v>
      </c>
      <c r="F23" s="26">
        <f t="shared" si="7"/>
        <v>0.91121495327102808</v>
      </c>
      <c r="G23" s="89">
        <v>1025</v>
      </c>
      <c r="H23" s="24">
        <f t="shared" si="8"/>
        <v>12300</v>
      </c>
      <c r="I23" s="26">
        <f t="shared" si="9"/>
        <v>0.95794392523364491</v>
      </c>
      <c r="J23" s="65">
        <f t="shared" si="10"/>
        <v>50</v>
      </c>
      <c r="K23" s="66">
        <f t="shared" si="11"/>
        <v>5.1282051282051322E-2</v>
      </c>
    </row>
    <row r="24" spans="1:11" ht="15.75">
      <c r="A24" s="102">
        <v>21</v>
      </c>
      <c r="B24" s="86" t="s">
        <v>85</v>
      </c>
      <c r="C24" s="87">
        <v>1070</v>
      </c>
      <c r="D24" s="88">
        <v>975</v>
      </c>
      <c r="E24" s="24">
        <f t="shared" si="6"/>
        <v>11700</v>
      </c>
      <c r="F24" s="26">
        <f t="shared" si="7"/>
        <v>0.91121495327102808</v>
      </c>
      <c r="G24" s="89">
        <v>1025</v>
      </c>
      <c r="H24" s="24">
        <f t="shared" si="8"/>
        <v>12300</v>
      </c>
      <c r="I24" s="26">
        <f t="shared" si="9"/>
        <v>0.95794392523364491</v>
      </c>
      <c r="J24" s="65">
        <f t="shared" si="10"/>
        <v>50</v>
      </c>
      <c r="K24" s="66">
        <f t="shared" si="11"/>
        <v>5.1282051282051322E-2</v>
      </c>
    </row>
    <row r="25" spans="1:11" ht="15.75">
      <c r="A25" s="102">
        <v>22</v>
      </c>
      <c r="B25" s="86" t="s">
        <v>85</v>
      </c>
      <c r="C25" s="87">
        <v>1070</v>
      </c>
      <c r="D25" s="88">
        <v>975</v>
      </c>
      <c r="E25" s="24">
        <f t="shared" si="6"/>
        <v>11700</v>
      </c>
      <c r="F25" s="26">
        <f t="shared" si="7"/>
        <v>0.91121495327102808</v>
      </c>
      <c r="G25" s="89">
        <v>1025</v>
      </c>
      <c r="H25" s="24">
        <f t="shared" ref="H25:H31" si="12">G25*12</f>
        <v>12300</v>
      </c>
      <c r="I25" s="26">
        <f t="shared" ref="I25:I31" si="13">G25/C25</f>
        <v>0.95794392523364491</v>
      </c>
      <c r="J25" s="65">
        <f t="shared" si="10"/>
        <v>50</v>
      </c>
      <c r="K25" s="66">
        <f t="shared" si="11"/>
        <v>5.1282051282051322E-2</v>
      </c>
    </row>
    <row r="26" spans="1:11" ht="15.75">
      <c r="A26" s="102">
        <v>23</v>
      </c>
      <c r="B26" s="86" t="s">
        <v>85</v>
      </c>
      <c r="C26" s="87">
        <v>1070</v>
      </c>
      <c r="D26" s="88">
        <v>975</v>
      </c>
      <c r="E26" s="24">
        <f t="shared" si="6"/>
        <v>11700</v>
      </c>
      <c r="F26" s="26">
        <f t="shared" si="7"/>
        <v>0.91121495327102808</v>
      </c>
      <c r="G26" s="89">
        <v>1025</v>
      </c>
      <c r="H26" s="24">
        <f t="shared" si="12"/>
        <v>12300</v>
      </c>
      <c r="I26" s="26">
        <f t="shared" si="13"/>
        <v>0.95794392523364491</v>
      </c>
      <c r="J26" s="65">
        <f t="shared" si="10"/>
        <v>50</v>
      </c>
      <c r="K26" s="66">
        <f t="shared" si="11"/>
        <v>5.1282051282051322E-2</v>
      </c>
    </row>
    <row r="27" spans="1:11" ht="15.75">
      <c r="A27" s="102">
        <v>24</v>
      </c>
      <c r="B27" s="86" t="s">
        <v>85</v>
      </c>
      <c r="C27" s="87">
        <v>1070</v>
      </c>
      <c r="D27" s="88">
        <v>975</v>
      </c>
      <c r="E27" s="24">
        <f t="shared" si="6"/>
        <v>11700</v>
      </c>
      <c r="F27" s="26">
        <f t="shared" si="7"/>
        <v>0.91121495327102808</v>
      </c>
      <c r="G27" s="89">
        <v>1025</v>
      </c>
      <c r="H27" s="24">
        <f t="shared" si="12"/>
        <v>12300</v>
      </c>
      <c r="I27" s="26">
        <f t="shared" si="13"/>
        <v>0.95794392523364491</v>
      </c>
      <c r="J27" s="65">
        <f t="shared" si="10"/>
        <v>50</v>
      </c>
      <c r="K27" s="66">
        <f t="shared" si="11"/>
        <v>5.1282051282051322E-2</v>
      </c>
    </row>
    <row r="28" spans="1:11" ht="15.75">
      <c r="A28" s="102">
        <v>25</v>
      </c>
      <c r="B28" s="86" t="s">
        <v>85</v>
      </c>
      <c r="C28" s="87">
        <v>1070</v>
      </c>
      <c r="D28" s="88">
        <v>975</v>
      </c>
      <c r="E28" s="24">
        <f t="shared" si="6"/>
        <v>11700</v>
      </c>
      <c r="F28" s="26">
        <f t="shared" si="7"/>
        <v>0.91121495327102808</v>
      </c>
      <c r="G28" s="89">
        <v>1025</v>
      </c>
      <c r="H28" s="24">
        <f t="shared" si="12"/>
        <v>12300</v>
      </c>
      <c r="I28" s="26">
        <f t="shared" si="13"/>
        <v>0.95794392523364491</v>
      </c>
      <c r="J28" s="65">
        <f t="shared" si="10"/>
        <v>50</v>
      </c>
      <c r="K28" s="66">
        <f t="shared" si="11"/>
        <v>5.1282051282051322E-2</v>
      </c>
    </row>
    <row r="29" spans="1:11" ht="15.75">
      <c r="A29" s="102">
        <v>26</v>
      </c>
      <c r="B29" s="86" t="s">
        <v>85</v>
      </c>
      <c r="C29" s="87">
        <v>1070</v>
      </c>
      <c r="D29" s="88">
        <v>975</v>
      </c>
      <c r="E29" s="24">
        <f t="shared" si="6"/>
        <v>11700</v>
      </c>
      <c r="F29" s="26">
        <f t="shared" si="7"/>
        <v>0.91121495327102808</v>
      </c>
      <c r="G29" s="89">
        <v>1025</v>
      </c>
      <c r="H29" s="24">
        <f t="shared" si="12"/>
        <v>12300</v>
      </c>
      <c r="I29" s="26">
        <f t="shared" si="13"/>
        <v>0.95794392523364491</v>
      </c>
      <c r="J29" s="65">
        <f t="shared" si="10"/>
        <v>50</v>
      </c>
      <c r="K29" s="66">
        <f t="shared" si="11"/>
        <v>5.1282051282051322E-2</v>
      </c>
    </row>
    <row r="30" spans="1:11" ht="15.75">
      <c r="A30" s="102">
        <v>27</v>
      </c>
      <c r="B30" s="86" t="s">
        <v>85</v>
      </c>
      <c r="C30" s="87">
        <v>1070</v>
      </c>
      <c r="D30" s="88">
        <v>975</v>
      </c>
      <c r="E30" s="24">
        <f t="shared" si="6"/>
        <v>11700</v>
      </c>
      <c r="F30" s="26">
        <f t="shared" si="7"/>
        <v>0.91121495327102808</v>
      </c>
      <c r="G30" s="89">
        <v>1025</v>
      </c>
      <c r="H30" s="24">
        <f t="shared" si="12"/>
        <v>12300</v>
      </c>
      <c r="I30" s="26">
        <f t="shared" si="13"/>
        <v>0.95794392523364491</v>
      </c>
      <c r="J30" s="65">
        <f t="shared" si="10"/>
        <v>50</v>
      </c>
      <c r="K30" s="66">
        <f t="shared" si="11"/>
        <v>5.1282051282051322E-2</v>
      </c>
    </row>
    <row r="31" spans="1:11" ht="15.75">
      <c r="A31" s="102">
        <v>28</v>
      </c>
      <c r="B31" s="86" t="s">
        <v>85</v>
      </c>
      <c r="C31" s="87">
        <v>1070</v>
      </c>
      <c r="D31" s="88">
        <v>975</v>
      </c>
      <c r="E31" s="24">
        <f t="shared" si="6"/>
        <v>11700</v>
      </c>
      <c r="F31" s="26">
        <f t="shared" si="7"/>
        <v>0.91121495327102808</v>
      </c>
      <c r="G31" s="89">
        <v>1025</v>
      </c>
      <c r="H31" s="24">
        <f t="shared" si="12"/>
        <v>12300</v>
      </c>
      <c r="I31" s="26">
        <f t="shared" si="13"/>
        <v>0.95794392523364491</v>
      </c>
      <c r="J31" s="65">
        <f t="shared" si="10"/>
        <v>50</v>
      </c>
      <c r="K31" s="66">
        <f t="shared" si="11"/>
        <v>5.1282051282051322E-2</v>
      </c>
    </row>
    <row r="32" spans="1:11" ht="15.75">
      <c r="A32" s="67"/>
      <c r="B32" s="90"/>
      <c r="C32" s="68"/>
      <c r="D32" s="69">
        <f>SUM(D4:D31)</f>
        <v>23700</v>
      </c>
      <c r="E32" s="69">
        <f>SUM(E4:E31)</f>
        <v>284400</v>
      </c>
      <c r="F32" s="71">
        <f>AVERAGE(F4:F31)</f>
        <v>1.0116387066813721</v>
      </c>
      <c r="G32" s="70">
        <f>SUM(G4:G31)</f>
        <v>24700</v>
      </c>
      <c r="H32" s="70">
        <f>SUM(H4:H31)</f>
        <v>296400</v>
      </c>
      <c r="I32" s="71">
        <f>AVERAGE(I4:I31)</f>
        <v>1.0523693426984779</v>
      </c>
      <c r="J32" s="70">
        <f>SUM(J4:J31)</f>
        <v>1000</v>
      </c>
      <c r="K32" s="72">
        <f>AVERAGE(K4:K31)</f>
        <v>4.1025641025641102E-2</v>
      </c>
    </row>
    <row r="33" spans="1:11">
      <c r="A33" s="59"/>
      <c r="B33" s="91"/>
      <c r="C33" s="59"/>
      <c r="D33" s="59"/>
      <c r="E33" s="59"/>
      <c r="F33" s="59"/>
      <c r="G33" s="59"/>
      <c r="H33" s="59"/>
      <c r="I33" s="59"/>
      <c r="J33" s="59"/>
      <c r="K33" s="59"/>
    </row>
    <row r="34" spans="1:11">
      <c r="A34" s="60"/>
      <c r="B34" s="60"/>
      <c r="C34" s="60"/>
      <c r="D34" s="60"/>
    </row>
    <row r="35" spans="1:11">
      <c r="A35" s="60"/>
      <c r="B35" s="60"/>
      <c r="C35" s="60"/>
      <c r="D35" s="61"/>
      <c r="E35" s="61"/>
    </row>
    <row r="36" spans="1:11">
      <c r="A36" s="60"/>
      <c r="B36" s="60"/>
      <c r="C36" s="60"/>
      <c r="D36" s="61"/>
      <c r="E36" s="61"/>
    </row>
    <row r="37" spans="1:11">
      <c r="A37" s="60"/>
      <c r="B37" s="60"/>
      <c r="C37" s="60"/>
      <c r="D37" s="61"/>
      <c r="E37" s="61"/>
    </row>
    <row r="38" spans="1:11">
      <c r="A38" s="60"/>
      <c r="B38" s="60"/>
      <c r="C38" s="60"/>
      <c r="D38" s="61"/>
      <c r="E38" s="61"/>
    </row>
    <row r="39" spans="1:11">
      <c r="A39" s="60"/>
      <c r="B39" s="60"/>
      <c r="C39" s="60"/>
      <c r="D39" s="61"/>
      <c r="E39" s="61"/>
    </row>
    <row r="40" spans="1:11">
      <c r="A40" s="60"/>
      <c r="B40" s="60"/>
      <c r="C40" s="60"/>
      <c r="D40" s="61"/>
      <c r="E40" s="61"/>
    </row>
    <row r="41" spans="1:11">
      <c r="A41" s="60"/>
      <c r="B41" s="60"/>
      <c r="C41" s="60"/>
      <c r="D41" s="60"/>
    </row>
    <row r="44" spans="1:11">
      <c r="B44" s="62"/>
    </row>
    <row r="46" spans="1:11">
      <c r="B46" s="63"/>
    </row>
    <row r="53" spans="2:2">
      <c r="B53" s="64"/>
    </row>
  </sheetData>
  <mergeCells count="12">
    <mergeCell ref="F2:F3"/>
    <mergeCell ref="A2:A3"/>
    <mergeCell ref="B2:B3"/>
    <mergeCell ref="C2:C3"/>
    <mergeCell ref="D2:D3"/>
    <mergeCell ref="E2:E3"/>
    <mergeCell ref="J2:J3"/>
    <mergeCell ref="K2:K3"/>
    <mergeCell ref="G1:K1"/>
    <mergeCell ref="G2:G3"/>
    <mergeCell ref="H2:H3"/>
    <mergeCell ref="I2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8"/>
  <sheetViews>
    <sheetView tabSelected="1" topLeftCell="A25" zoomScaleNormal="100" workbookViewId="0">
      <selection activeCell="D67" sqref="D67"/>
    </sheetView>
  </sheetViews>
  <sheetFormatPr defaultColWidth="11.42578125" defaultRowHeight="15.75"/>
  <cols>
    <col min="1" max="1" width="34.7109375" style="4" bestFit="1" customWidth="1"/>
    <col min="2" max="2" width="24.7109375" style="4" bestFit="1" customWidth="1"/>
    <col min="3" max="3" width="24.85546875" style="4" customWidth="1"/>
    <col min="4" max="4" width="19.5703125" style="4" bestFit="1" customWidth="1"/>
    <col min="5" max="5" width="19.5703125" style="4" customWidth="1"/>
    <col min="6" max="6" width="18.140625" style="4" bestFit="1" customWidth="1"/>
    <col min="7" max="7" width="18.140625" style="4" customWidth="1"/>
    <col min="8" max="8" width="25" style="21" bestFit="1" customWidth="1"/>
    <col min="9" max="9" width="25" style="21" customWidth="1"/>
    <col min="10" max="10" width="16.7109375" style="4" customWidth="1"/>
    <col min="11" max="11" width="14.28515625" style="4" customWidth="1"/>
    <col min="12" max="12" width="20.5703125" style="4" bestFit="1" customWidth="1"/>
    <col min="13" max="13" width="18.28515625" style="4" customWidth="1"/>
    <col min="14" max="14" width="24.140625" style="4" bestFit="1" customWidth="1"/>
    <col min="15" max="15" width="20.7109375" style="4" bestFit="1" customWidth="1"/>
    <col min="16" max="16" width="16.42578125" style="4" bestFit="1" customWidth="1"/>
    <col min="17" max="17" width="21" style="4" bestFit="1" customWidth="1"/>
    <col min="18" max="18" width="13.7109375" style="4" bestFit="1" customWidth="1"/>
    <col min="19" max="16384" width="11.42578125" style="4"/>
  </cols>
  <sheetData>
    <row r="1" spans="1:16">
      <c r="A1" s="128" t="s">
        <v>12</v>
      </c>
      <c r="B1" s="128"/>
      <c r="D1" s="130" t="s">
        <v>47</v>
      </c>
      <c r="E1" s="130"/>
      <c r="F1" s="130"/>
      <c r="H1" s="130" t="s">
        <v>53</v>
      </c>
      <c r="I1" s="130"/>
      <c r="J1" s="130"/>
      <c r="L1" s="128" t="s">
        <v>48</v>
      </c>
      <c r="M1" s="128"/>
      <c r="P1" s="5"/>
    </row>
    <row r="2" spans="1:16">
      <c r="A2" s="6" t="s">
        <v>44</v>
      </c>
      <c r="B2" s="7" t="s">
        <v>80</v>
      </c>
      <c r="D2" s="8" t="s">
        <v>6</v>
      </c>
      <c r="E2" s="9">
        <f>F2/B9</f>
        <v>0.66666666666666663</v>
      </c>
      <c r="F2" s="114">
        <v>2000000</v>
      </c>
      <c r="H2" s="125" t="s">
        <v>13</v>
      </c>
      <c r="I2" s="126"/>
      <c r="J2" s="116">
        <f>F3</f>
        <v>1000000</v>
      </c>
      <c r="L2" s="10" t="s">
        <v>49</v>
      </c>
      <c r="M2" s="120">
        <v>5.7500000000000002E-2</v>
      </c>
    </row>
    <row r="3" spans="1:16">
      <c r="A3" s="6" t="s">
        <v>4</v>
      </c>
      <c r="B3" s="11" t="s">
        <v>81</v>
      </c>
      <c r="D3" s="8" t="s">
        <v>13</v>
      </c>
      <c r="E3" s="9">
        <f>F3/B9</f>
        <v>0.33333333333333331</v>
      </c>
      <c r="F3" s="12">
        <f>B9-F2</f>
        <v>1000000</v>
      </c>
      <c r="H3" s="8" t="s">
        <v>54</v>
      </c>
      <c r="I3" s="117">
        <v>2E-3</v>
      </c>
      <c r="J3" s="77">
        <f>I3*B9</f>
        <v>6000</v>
      </c>
      <c r="L3" s="10" t="s">
        <v>50</v>
      </c>
      <c r="M3" s="79">
        <f>L67/N33</f>
        <v>11.648759324753369</v>
      </c>
    </row>
    <row r="4" spans="1:16">
      <c r="A4" s="6" t="s">
        <v>2</v>
      </c>
      <c r="B4" s="7">
        <v>28</v>
      </c>
      <c r="D4" s="125" t="s">
        <v>7</v>
      </c>
      <c r="E4" s="131"/>
      <c r="F4" s="76">
        <v>5</v>
      </c>
      <c r="H4" s="10" t="s">
        <v>55</v>
      </c>
      <c r="I4" s="118">
        <v>1.2500000000000001E-2</v>
      </c>
      <c r="J4" s="77">
        <f>I4*F2</f>
        <v>25000</v>
      </c>
      <c r="L4" s="10" t="s">
        <v>51</v>
      </c>
      <c r="M4" s="19">
        <f>L67/B6</f>
        <v>157.70490988715486</v>
      </c>
    </row>
    <row r="5" spans="1:16">
      <c r="A5" s="100" t="s">
        <v>82</v>
      </c>
      <c r="B5" s="101" t="s">
        <v>83</v>
      </c>
      <c r="D5" s="125" t="s">
        <v>1</v>
      </c>
      <c r="E5" s="131"/>
      <c r="F5" s="13">
        <v>360</v>
      </c>
      <c r="H5" s="132" t="s">
        <v>57</v>
      </c>
      <c r="I5" s="133"/>
      <c r="J5" s="119">
        <v>1500</v>
      </c>
      <c r="L5" s="10" t="s">
        <v>60</v>
      </c>
      <c r="M5" s="19">
        <f>L67/B4</f>
        <v>134499.75886090207</v>
      </c>
    </row>
    <row r="6" spans="1:16">
      <c r="A6" s="6" t="s">
        <v>23</v>
      </c>
      <c r="B6" s="115">
        <v>23880</v>
      </c>
      <c r="D6" s="125" t="s">
        <v>8</v>
      </c>
      <c r="E6" s="131"/>
      <c r="F6" s="14">
        <v>4.4999999999999998E-2</v>
      </c>
      <c r="H6" s="132" t="s">
        <v>58</v>
      </c>
      <c r="I6" s="133"/>
      <c r="J6" s="119">
        <v>1500</v>
      </c>
      <c r="L6" s="105" t="s">
        <v>94</v>
      </c>
      <c r="M6" s="120">
        <v>4.4999999999999998E-2</v>
      </c>
    </row>
    <row r="7" spans="1:16">
      <c r="A7" s="6" t="s">
        <v>10</v>
      </c>
      <c r="B7" s="7">
        <v>46839</v>
      </c>
      <c r="D7" s="125" t="s">
        <v>14</v>
      </c>
      <c r="E7" s="131"/>
      <c r="F7" s="15">
        <f>-PMT(F6/12,F5,F2)</f>
        <v>10133.706196517614</v>
      </c>
      <c r="G7" s="16"/>
      <c r="H7" s="132" t="s">
        <v>56</v>
      </c>
      <c r="I7" s="133"/>
      <c r="J7" s="119">
        <v>13000</v>
      </c>
      <c r="L7" s="105" t="s">
        <v>54</v>
      </c>
      <c r="M7" s="120">
        <v>7.4999999999999997E-3</v>
      </c>
    </row>
    <row r="8" spans="1:16">
      <c r="A8" s="10" t="s">
        <v>19</v>
      </c>
      <c r="B8" s="7">
        <f>B6/B4</f>
        <v>852.85714285714289</v>
      </c>
      <c r="D8" s="129" t="s">
        <v>15</v>
      </c>
      <c r="E8" s="129"/>
      <c r="F8" s="80">
        <f>D56/(F7*12)</f>
        <v>1.4498481649667583</v>
      </c>
      <c r="G8" s="17"/>
      <c r="H8" s="75" t="s">
        <v>70</v>
      </c>
      <c r="I8" s="121">
        <v>1000</v>
      </c>
      <c r="J8" s="78">
        <f>I8*B4</f>
        <v>28000</v>
      </c>
      <c r="L8" s="105" t="s">
        <v>95</v>
      </c>
      <c r="M8" s="106">
        <f>M7+M6</f>
        <v>5.2499999999999998E-2</v>
      </c>
    </row>
    <row r="9" spans="1:16">
      <c r="A9" s="10" t="s">
        <v>46</v>
      </c>
      <c r="B9" s="18">
        <v>3000000</v>
      </c>
      <c r="H9" s="127" t="s">
        <v>52</v>
      </c>
      <c r="I9" s="127"/>
      <c r="J9" s="81">
        <f>SUM(J2:J8)</f>
        <v>1075000</v>
      </c>
    </row>
    <row r="10" spans="1:16">
      <c r="A10" s="10" t="s">
        <v>45</v>
      </c>
      <c r="B10" s="134">
        <f>D56/B9</f>
        <v>5.8769341333333322E-2</v>
      </c>
      <c r="H10" s="4"/>
      <c r="I10" s="4"/>
    </row>
    <row r="11" spans="1:16">
      <c r="A11" s="10" t="s">
        <v>3</v>
      </c>
      <c r="B11" s="79">
        <f>B9/D33</f>
        <v>10.548523206751055</v>
      </c>
      <c r="H11" s="4"/>
      <c r="I11" s="4"/>
    </row>
    <row r="12" spans="1:16">
      <c r="A12" s="10" t="s">
        <v>9</v>
      </c>
      <c r="B12" s="19">
        <f>B9/B6</f>
        <v>125.62814070351759</v>
      </c>
      <c r="H12" s="4"/>
      <c r="I12" s="4"/>
    </row>
    <row r="13" spans="1:16">
      <c r="A13" s="10" t="s">
        <v>11</v>
      </c>
      <c r="B13" s="19">
        <f>B9/B4</f>
        <v>107142.85714285714</v>
      </c>
      <c r="H13" s="4"/>
      <c r="I13" s="4"/>
    </row>
    <row r="14" spans="1:16">
      <c r="A14" s="98"/>
      <c r="B14" s="99"/>
      <c r="H14" s="4"/>
      <c r="I14" s="4"/>
    </row>
    <row r="15" spans="1:16">
      <c r="B15" s="20"/>
      <c r="H15" s="4"/>
      <c r="I15" s="4"/>
    </row>
    <row r="17" spans="1:19">
      <c r="A17" s="4" t="s">
        <v>20</v>
      </c>
    </row>
    <row r="18" spans="1:19">
      <c r="A18" s="22"/>
      <c r="B18" s="22"/>
      <c r="C18" s="22"/>
      <c r="D18" s="22"/>
      <c r="E18" s="22"/>
      <c r="F18" s="22"/>
      <c r="G18" s="22"/>
      <c r="H18" s="22"/>
      <c r="I18" s="124" t="s">
        <v>37</v>
      </c>
      <c r="J18" s="124"/>
      <c r="K18" s="124"/>
      <c r="L18" s="124"/>
      <c r="M18" s="124"/>
      <c r="N18" s="124"/>
    </row>
    <row r="19" spans="1:19">
      <c r="A19" s="123" t="s">
        <v>38</v>
      </c>
      <c r="B19" s="123" t="s">
        <v>24</v>
      </c>
      <c r="C19" s="123" t="s">
        <v>43</v>
      </c>
      <c r="D19" s="123" t="s">
        <v>36</v>
      </c>
      <c r="E19" s="123" t="s">
        <v>39</v>
      </c>
      <c r="F19" s="123" t="s">
        <v>40</v>
      </c>
      <c r="G19" s="123" t="s">
        <v>32</v>
      </c>
      <c r="H19" s="123" t="s">
        <v>30</v>
      </c>
      <c r="I19" s="123" t="s">
        <v>31</v>
      </c>
      <c r="J19" s="123" t="s">
        <v>41</v>
      </c>
      <c r="K19" s="123" t="s">
        <v>34</v>
      </c>
      <c r="L19" s="123" t="s">
        <v>35</v>
      </c>
      <c r="M19" s="123" t="s">
        <v>67</v>
      </c>
      <c r="N19" s="123" t="s">
        <v>42</v>
      </c>
    </row>
    <row r="20" spans="1:19">
      <c r="A20" s="123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</row>
    <row r="21" spans="1:19">
      <c r="A21" s="93">
        <v>16</v>
      </c>
      <c r="B21" s="93" t="s">
        <v>84</v>
      </c>
      <c r="C21" s="23">
        <f>A21/B4</f>
        <v>0.5714285714285714</v>
      </c>
      <c r="D21" s="93">
        <v>750</v>
      </c>
      <c r="E21" s="96">
        <v>750</v>
      </c>
      <c r="F21" s="25">
        <f>E21*A21</f>
        <v>12000</v>
      </c>
      <c r="G21" s="24">
        <f>F21*12</f>
        <v>144000</v>
      </c>
      <c r="H21" s="26">
        <f>F21/(D21*A21)</f>
        <v>1</v>
      </c>
      <c r="I21" s="122">
        <v>775</v>
      </c>
      <c r="J21" s="24">
        <f>I21*A21</f>
        <v>12400</v>
      </c>
      <c r="K21" s="24">
        <f>J21*12</f>
        <v>148800</v>
      </c>
      <c r="L21" s="26">
        <f>I21/D21</f>
        <v>1.0333333333333334</v>
      </c>
      <c r="M21" s="27">
        <f>K21-G21</f>
        <v>4800</v>
      </c>
      <c r="N21" s="28">
        <f>M21/G21</f>
        <v>3.3333333333333333E-2</v>
      </c>
    </row>
    <row r="22" spans="1:19">
      <c r="A22" s="94">
        <v>12</v>
      </c>
      <c r="B22" s="93" t="s">
        <v>85</v>
      </c>
      <c r="C22" s="28">
        <f>A22/B4</f>
        <v>0.42857142857142855</v>
      </c>
      <c r="D22" s="95">
        <v>975</v>
      </c>
      <c r="E22" s="97">
        <v>975</v>
      </c>
      <c r="F22" s="103">
        <f>E22*A22</f>
        <v>11700</v>
      </c>
      <c r="G22" s="30">
        <f>F22*12</f>
        <v>140400</v>
      </c>
      <c r="H22" s="31">
        <f>E22/D22</f>
        <v>1</v>
      </c>
      <c r="I22" s="122">
        <v>1025</v>
      </c>
      <c r="J22" s="24">
        <f>I22*A22</f>
        <v>12300</v>
      </c>
      <c r="K22" s="24">
        <f>J22*12</f>
        <v>147600</v>
      </c>
      <c r="L22" s="26">
        <f>I22/D22</f>
        <v>1.0512820512820513</v>
      </c>
      <c r="M22" s="27">
        <f>K22-G22</f>
        <v>7200</v>
      </c>
      <c r="N22" s="28">
        <f>M22/G22</f>
        <v>5.128205128205128E-2</v>
      </c>
    </row>
    <row r="23" spans="1:19">
      <c r="A23" s="32">
        <f>B4</f>
        <v>28</v>
      </c>
      <c r="B23" s="33"/>
      <c r="C23" s="34">
        <f>C22+C21</f>
        <v>1</v>
      </c>
      <c r="D23" s="35">
        <f>B6</f>
        <v>23880</v>
      </c>
      <c r="E23" s="2"/>
      <c r="F23" s="36">
        <f>'Rent Roll'!D32</f>
        <v>23700</v>
      </c>
      <c r="G23" s="2">
        <f>'Rent Roll'!E32</f>
        <v>284400</v>
      </c>
      <c r="H23" s="37">
        <f>'Rent Roll'!F32</f>
        <v>1.0116387066813721</v>
      </c>
      <c r="I23" s="32"/>
      <c r="J23" s="2">
        <f>'Rent Roll'!G32</f>
        <v>24700</v>
      </c>
      <c r="K23" s="2">
        <f>'Rent Roll'!H32</f>
        <v>296400</v>
      </c>
      <c r="L23" s="37">
        <f>'Rent Roll'!I32</f>
        <v>1.0523693426984779</v>
      </c>
      <c r="M23" s="2">
        <f>'Rent Roll'!J32*12</f>
        <v>12000</v>
      </c>
      <c r="N23" s="34">
        <f>M23/G23</f>
        <v>4.2194092827004218E-2</v>
      </c>
    </row>
    <row r="24" spans="1:19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22"/>
      <c r="B31" s="22"/>
      <c r="C31" s="22"/>
      <c r="D31" s="38">
        <v>1</v>
      </c>
      <c r="E31" s="38"/>
      <c r="F31" s="39">
        <f>D31+1</f>
        <v>2</v>
      </c>
      <c r="G31" s="39"/>
      <c r="H31" s="39">
        <f>F31+1</f>
        <v>3</v>
      </c>
      <c r="I31" s="39"/>
      <c r="J31" s="39">
        <f>H31+1</f>
        <v>4</v>
      </c>
      <c r="K31" s="39"/>
      <c r="L31" s="39">
        <f>J31+1</f>
        <v>5</v>
      </c>
      <c r="M31" s="39"/>
      <c r="N31" s="39">
        <f t="shared" ref="N31" si="0">L31+1</f>
        <v>6</v>
      </c>
      <c r="O31" s="40"/>
      <c r="P31" s="40"/>
      <c r="Q31" s="40"/>
      <c r="R31" s="40"/>
      <c r="S31" s="40"/>
    </row>
    <row r="32" spans="1:19">
      <c r="A32" s="41" t="s">
        <v>0</v>
      </c>
      <c r="B32" s="22"/>
      <c r="C32" s="42" t="s">
        <v>65</v>
      </c>
      <c r="D32" s="110">
        <v>0</v>
      </c>
      <c r="E32" s="44"/>
      <c r="F32" s="110">
        <v>0.01</v>
      </c>
      <c r="G32" s="111"/>
      <c r="H32" s="110">
        <v>0.03</v>
      </c>
      <c r="I32" s="111"/>
      <c r="J32" s="110">
        <v>0.03</v>
      </c>
      <c r="K32" s="111"/>
      <c r="L32" s="110">
        <v>0.03</v>
      </c>
      <c r="M32" s="111"/>
      <c r="N32" s="110">
        <v>0.03</v>
      </c>
      <c r="O32" s="22"/>
      <c r="P32" s="22"/>
      <c r="Q32" s="22"/>
      <c r="R32" s="22"/>
      <c r="S32" s="22"/>
    </row>
    <row r="33" spans="1:19">
      <c r="A33" s="45" t="s">
        <v>25</v>
      </c>
      <c r="B33" s="22"/>
      <c r="C33" s="22"/>
      <c r="D33" s="46">
        <f>G23</f>
        <v>284400</v>
      </c>
      <c r="E33" s="27"/>
      <c r="F33" s="27">
        <f>D33*(1+F$32)</f>
        <v>287244</v>
      </c>
      <c r="G33" s="27"/>
      <c r="H33" s="27">
        <f>F33*(1+H$32)</f>
        <v>295861.32</v>
      </c>
      <c r="I33" s="27"/>
      <c r="J33" s="27">
        <f>H33*(1+J$32)</f>
        <v>304737.15960000001</v>
      </c>
      <c r="K33" s="27"/>
      <c r="L33" s="27">
        <f>J33*(1+L$32)</f>
        <v>313879.27438800002</v>
      </c>
      <c r="M33" s="27"/>
      <c r="N33" s="27">
        <f>L33*(1+N$32)</f>
        <v>323295.65261964005</v>
      </c>
      <c r="O33" s="22"/>
      <c r="P33" s="22"/>
      <c r="Q33" s="22"/>
      <c r="R33" s="22"/>
      <c r="S33" s="22"/>
    </row>
    <row r="34" spans="1:19">
      <c r="A34" s="104" t="s">
        <v>86</v>
      </c>
      <c r="B34" s="22"/>
      <c r="C34" s="22"/>
      <c r="D34" s="109">
        <v>12400</v>
      </c>
      <c r="E34" s="47"/>
      <c r="F34" s="27">
        <f>D34*(1+F$32)</f>
        <v>12524</v>
      </c>
      <c r="G34" s="27"/>
      <c r="H34" s="27">
        <f>F34*(1+H$32)</f>
        <v>12899.720000000001</v>
      </c>
      <c r="I34" s="27"/>
      <c r="J34" s="27">
        <f>H34*(1+J$32)</f>
        <v>13286.711600000002</v>
      </c>
      <c r="K34" s="27"/>
      <c r="L34" s="27">
        <f>J34*(1+L$32)</f>
        <v>13685.312948000003</v>
      </c>
      <c r="M34" s="27"/>
      <c r="N34" s="27">
        <f>L34*(1+N$32)</f>
        <v>14095.872336440003</v>
      </c>
      <c r="O34" s="22"/>
      <c r="P34" s="22"/>
      <c r="Q34" s="22"/>
      <c r="R34" s="22"/>
      <c r="S34" s="22"/>
    </row>
    <row r="35" spans="1:19">
      <c r="A35" s="104" t="s">
        <v>87</v>
      </c>
      <c r="B35" s="22"/>
      <c r="C35" s="22"/>
      <c r="D35" s="109">
        <v>15024</v>
      </c>
      <c r="E35" s="47"/>
      <c r="F35" s="27">
        <f>D35*(1+F$32)</f>
        <v>15174.24</v>
      </c>
      <c r="G35" s="27"/>
      <c r="H35" s="27">
        <f>F35*(1+H$32)</f>
        <v>15629.467200000001</v>
      </c>
      <c r="I35" s="27"/>
      <c r="J35" s="27">
        <f>H35*(1+J$32)</f>
        <v>16098.351216000001</v>
      </c>
      <c r="K35" s="27"/>
      <c r="L35" s="27">
        <f>J35*(1+L$32)</f>
        <v>16581.301752480002</v>
      </c>
      <c r="M35" s="27"/>
      <c r="N35" s="27">
        <f>L35*(1+N$32)</f>
        <v>17078.740805054404</v>
      </c>
      <c r="O35" s="22"/>
      <c r="P35" s="22"/>
      <c r="Q35" s="22"/>
      <c r="R35" s="22"/>
      <c r="S35" s="22"/>
    </row>
    <row r="36" spans="1:19">
      <c r="A36" s="3" t="s">
        <v>18</v>
      </c>
      <c r="B36" s="3"/>
      <c r="C36" s="3"/>
      <c r="D36" s="2">
        <f>SUM(D33:D35)</f>
        <v>311824</v>
      </c>
      <c r="E36" s="2"/>
      <c r="F36" s="2">
        <f>SUM(F33:F35)</f>
        <v>314942.24</v>
      </c>
      <c r="G36" s="2"/>
      <c r="H36" s="2">
        <f>SUM(H33:H35)</f>
        <v>324390.50720000005</v>
      </c>
      <c r="I36" s="2"/>
      <c r="J36" s="2">
        <f>SUM(J33:J35)</f>
        <v>334122.22241599998</v>
      </c>
      <c r="K36" s="2"/>
      <c r="L36" s="2">
        <f>SUM(L33:L35)</f>
        <v>344145.88908847998</v>
      </c>
      <c r="M36" s="2"/>
      <c r="N36" s="2">
        <f>SUM(N33:N35)</f>
        <v>354470.26576113445</v>
      </c>
      <c r="O36" s="22"/>
      <c r="P36" s="22"/>
      <c r="Q36" s="22"/>
      <c r="R36" s="22"/>
      <c r="S36" s="22"/>
    </row>
    <row r="37" spans="1:19">
      <c r="A37" s="22"/>
      <c r="B37" s="22"/>
      <c r="C37" s="22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22"/>
      <c r="P37" s="22"/>
      <c r="Q37" s="22"/>
      <c r="R37" s="22"/>
      <c r="S37" s="22"/>
    </row>
    <row r="38" spans="1:19">
      <c r="A38" s="22"/>
      <c r="B38" s="22"/>
      <c r="C38" s="42" t="s">
        <v>68</v>
      </c>
      <c r="D38" s="110">
        <v>0.1</v>
      </c>
      <c r="E38" s="48"/>
      <c r="F38" s="43">
        <v>0.09</v>
      </c>
      <c r="G38" s="48"/>
      <c r="H38" s="43">
        <v>7.0000000000000007E-2</v>
      </c>
      <c r="I38" s="48"/>
      <c r="J38" s="43">
        <v>7.0000000000000007E-2</v>
      </c>
      <c r="K38" s="48"/>
      <c r="L38" s="43">
        <v>0.06</v>
      </c>
      <c r="M38" s="48"/>
      <c r="N38" s="43">
        <v>0.06</v>
      </c>
      <c r="O38" s="22"/>
      <c r="P38" s="22"/>
      <c r="Q38" s="22"/>
      <c r="R38" s="22"/>
      <c r="S38" s="22"/>
    </row>
    <row r="39" spans="1:19">
      <c r="A39" s="45" t="s">
        <v>16</v>
      </c>
      <c r="B39" s="22"/>
      <c r="C39" s="22"/>
      <c r="D39" s="49">
        <f>D36*D38</f>
        <v>31182.400000000001</v>
      </c>
      <c r="E39" s="49"/>
      <c r="F39" s="49">
        <f t="shared" ref="F39:N39" si="1">F36*F38</f>
        <v>28344.801599999999</v>
      </c>
      <c r="G39" s="49"/>
      <c r="H39" s="49">
        <f t="shared" si="1"/>
        <v>22707.335504000006</v>
      </c>
      <c r="I39" s="49"/>
      <c r="J39" s="49">
        <f t="shared" si="1"/>
        <v>23388.555569119999</v>
      </c>
      <c r="K39" s="49"/>
      <c r="L39" s="49">
        <f t="shared" si="1"/>
        <v>20648.753345308796</v>
      </c>
      <c r="M39" s="49"/>
      <c r="N39" s="49">
        <f t="shared" si="1"/>
        <v>21268.215945668067</v>
      </c>
      <c r="O39" s="22"/>
      <c r="P39" s="22"/>
      <c r="Q39" s="22"/>
      <c r="R39" s="22"/>
      <c r="S39" s="22"/>
    </row>
    <row r="40" spans="1:19">
      <c r="A40" s="3" t="s">
        <v>17</v>
      </c>
      <c r="B40" s="3"/>
      <c r="C40" s="3"/>
      <c r="D40" s="2">
        <f>D36-D39</f>
        <v>280641.59999999998</v>
      </c>
      <c r="E40" s="2"/>
      <c r="F40" s="2">
        <f>F36-F39</f>
        <v>286597.43839999998</v>
      </c>
      <c r="G40" s="2"/>
      <c r="H40" s="2">
        <f>H36-H39</f>
        <v>301683.17169600003</v>
      </c>
      <c r="I40" s="2"/>
      <c r="J40" s="2">
        <f>J36-J39</f>
        <v>310733.66684687999</v>
      </c>
      <c r="K40" s="2"/>
      <c r="L40" s="2">
        <f>L36-L39</f>
        <v>323497.13574317121</v>
      </c>
      <c r="M40" s="2"/>
      <c r="N40" s="2">
        <f>N36-N39</f>
        <v>333202.04981546639</v>
      </c>
      <c r="O40" s="22"/>
      <c r="P40" s="22"/>
      <c r="Q40" s="22"/>
      <c r="R40" s="22"/>
      <c r="S40" s="22"/>
    </row>
    <row r="41" spans="1:19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22"/>
      <c r="B42" s="22"/>
      <c r="C42" s="22"/>
      <c r="D42" s="22"/>
      <c r="E42" s="29" t="s">
        <v>21</v>
      </c>
      <c r="F42" s="29"/>
      <c r="G42" s="29" t="s">
        <v>21</v>
      </c>
      <c r="H42" s="29"/>
      <c r="I42" s="29" t="s">
        <v>21</v>
      </c>
      <c r="J42" s="29"/>
      <c r="K42" s="29" t="s">
        <v>21</v>
      </c>
      <c r="L42" s="29"/>
      <c r="M42" s="29" t="s">
        <v>21</v>
      </c>
      <c r="N42" s="22"/>
      <c r="O42" s="22"/>
      <c r="P42" s="22"/>
      <c r="Q42" s="22"/>
      <c r="R42" s="22"/>
      <c r="S42" s="22"/>
    </row>
    <row r="43" spans="1:19">
      <c r="A43" s="41" t="s">
        <v>26</v>
      </c>
      <c r="B43" s="22"/>
      <c r="C43" s="42" t="s">
        <v>65</v>
      </c>
      <c r="D43" s="110">
        <v>0</v>
      </c>
      <c r="E43" s="44"/>
      <c r="F43" s="110">
        <v>0.02</v>
      </c>
      <c r="G43" s="111"/>
      <c r="H43" s="110">
        <v>0.02</v>
      </c>
      <c r="I43" s="111"/>
      <c r="J43" s="110">
        <v>0.02</v>
      </c>
      <c r="K43" s="111"/>
      <c r="L43" s="110">
        <v>0.02</v>
      </c>
      <c r="M43" s="111"/>
      <c r="N43" s="110">
        <v>0.02</v>
      </c>
      <c r="O43" s="22"/>
      <c r="P43" s="22"/>
      <c r="Q43" s="22"/>
      <c r="R43" s="22"/>
      <c r="S43" s="22"/>
    </row>
    <row r="44" spans="1:19">
      <c r="A44" s="104" t="s">
        <v>88</v>
      </c>
      <c r="B44" s="45"/>
      <c r="C44" s="22"/>
      <c r="D44" s="107">
        <v>8506</v>
      </c>
      <c r="E44" s="50">
        <f t="shared" ref="E44:E53" si="2">D44/D$40</f>
        <v>3.0309120244468392E-2</v>
      </c>
      <c r="F44" s="51">
        <f>D44*1.05</f>
        <v>8931.3000000000011</v>
      </c>
      <c r="G44" s="50">
        <f t="shared" ref="G44:G53" si="3">F44/F$40</f>
        <v>3.1163223404441991E-2</v>
      </c>
      <c r="H44" s="51">
        <f>F44*1.05</f>
        <v>9377.8650000000016</v>
      </c>
      <c r="I44" s="50">
        <f t="shared" ref="I44:I53" si="4">H44/H$40</f>
        <v>3.1085144548433363E-2</v>
      </c>
      <c r="J44" s="51">
        <f>H44*1.05</f>
        <v>9846.7582500000026</v>
      </c>
      <c r="K44" s="50">
        <f t="shared" ref="K44:K53" si="5">J44/J$40</f>
        <v>3.1688739588208774E-2</v>
      </c>
      <c r="L44" s="51">
        <f>J44*1.05</f>
        <v>10339.096162500004</v>
      </c>
      <c r="M44" s="50">
        <f>L44/L$40</f>
        <v>3.1960394761295051E-2</v>
      </c>
      <c r="N44" s="51">
        <f>L44*1.05</f>
        <v>10856.050970625005</v>
      </c>
      <c r="O44" s="22"/>
      <c r="P44" s="22"/>
      <c r="Q44" s="22"/>
      <c r="R44" s="22"/>
      <c r="S44" s="22"/>
    </row>
    <row r="45" spans="1:19">
      <c r="A45" s="45" t="s">
        <v>61</v>
      </c>
      <c r="B45" s="45"/>
      <c r="C45" s="22"/>
      <c r="D45" s="52">
        <v>5600</v>
      </c>
      <c r="E45" s="53">
        <f t="shared" si="2"/>
        <v>1.995427620138996E-2</v>
      </c>
      <c r="F45" s="51">
        <f>D45*(1+F$43)</f>
        <v>5712</v>
      </c>
      <c r="G45" s="53">
        <f t="shared" si="3"/>
        <v>1.9930394465102797E-2</v>
      </c>
      <c r="H45" s="51">
        <f t="shared" ref="H45:H53" si="6">F45*(1+H$43)</f>
        <v>5826.24</v>
      </c>
      <c r="I45" s="53">
        <f t="shared" si="4"/>
        <v>1.9312446124343265E-2</v>
      </c>
      <c r="J45" s="51">
        <f t="shared" ref="J45:J53" si="7">H45*(1+J$43)</f>
        <v>5942.7647999999999</v>
      </c>
      <c r="K45" s="53">
        <f t="shared" si="5"/>
        <v>1.9124946647407898E-2</v>
      </c>
      <c r="L45" s="51">
        <f t="shared" ref="L45:L53" si="8">J45*(1+L$43)</f>
        <v>6061.6200959999996</v>
      </c>
      <c r="M45" s="53">
        <f>L45/L$40</f>
        <v>1.8737785984023064E-2</v>
      </c>
      <c r="N45" s="51">
        <f t="shared" ref="F45:N52" si="9">L45*(1+N$43)</f>
        <v>6182.8524979200001</v>
      </c>
      <c r="O45" s="22"/>
      <c r="P45" s="22"/>
      <c r="Q45" s="22"/>
      <c r="R45" s="22"/>
      <c r="S45" s="22"/>
    </row>
    <row r="46" spans="1:19">
      <c r="A46" s="104" t="s">
        <v>89</v>
      </c>
      <c r="B46" s="45"/>
      <c r="C46" s="22"/>
      <c r="D46" s="108">
        <v>23413</v>
      </c>
      <c r="E46" s="53">
        <f>D46/D$40</f>
        <v>8.3426690839846981E-2</v>
      </c>
      <c r="F46" s="51">
        <f>D46*(1+F$43)</f>
        <v>23881.260000000002</v>
      </c>
      <c r="G46" s="53">
        <f t="shared" si="3"/>
        <v>8.332684385918783E-2</v>
      </c>
      <c r="H46" s="51">
        <f t="shared" si="6"/>
        <v>24358.885200000004</v>
      </c>
      <c r="I46" s="53">
        <f t="shared" si="4"/>
        <v>8.0743268055223028E-2</v>
      </c>
      <c r="J46" s="51">
        <f t="shared" si="7"/>
        <v>24846.062904000006</v>
      </c>
      <c r="K46" s="53">
        <f t="shared" si="5"/>
        <v>7.995935283138593E-2</v>
      </c>
      <c r="L46" s="51">
        <f t="shared" si="8"/>
        <v>25342.984162080007</v>
      </c>
      <c r="M46" s="53">
        <f t="shared" ref="M46" si="10">L46/L$40</f>
        <v>7.8340675579273586E-2</v>
      </c>
      <c r="N46" s="51">
        <f t="shared" si="9"/>
        <v>25849.843845321608</v>
      </c>
      <c r="O46" s="22"/>
      <c r="P46" s="22"/>
      <c r="Q46" s="22"/>
      <c r="R46" s="22"/>
      <c r="S46" s="22"/>
    </row>
    <row r="47" spans="1:19">
      <c r="A47" s="104" t="s">
        <v>91</v>
      </c>
      <c r="B47" s="45"/>
      <c r="C47" s="22"/>
      <c r="D47" s="52">
        <v>8072</v>
      </c>
      <c r="E47" s="53">
        <f t="shared" si="2"/>
        <v>2.8762663838860669E-2</v>
      </c>
      <c r="F47" s="51">
        <f>D47*(1+F$43)</f>
        <v>8233.44</v>
      </c>
      <c r="G47" s="53">
        <f t="shared" si="3"/>
        <v>2.8728240021841035E-2</v>
      </c>
      <c r="H47" s="51">
        <f t="shared" si="6"/>
        <v>8398.1088</v>
      </c>
      <c r="I47" s="53">
        <f t="shared" si="4"/>
        <v>2.7837511627803364E-2</v>
      </c>
      <c r="J47" s="51">
        <f t="shared" si="7"/>
        <v>8566.0709760000009</v>
      </c>
      <c r="K47" s="53">
        <f t="shared" si="5"/>
        <v>2.7567244524620813E-2</v>
      </c>
      <c r="L47" s="51">
        <f t="shared" si="8"/>
        <v>8737.3923955200007</v>
      </c>
      <c r="M47" s="53">
        <f t="shared" ref="M47" si="11">L47/L$40</f>
        <v>2.7009180082684676E-2</v>
      </c>
      <c r="N47" s="51">
        <f t="shared" si="9"/>
        <v>8912.1402434304</v>
      </c>
      <c r="O47" s="22"/>
      <c r="P47" s="22"/>
      <c r="Q47" s="22"/>
      <c r="R47" s="22"/>
      <c r="S47" s="22"/>
    </row>
    <row r="48" spans="1:19">
      <c r="A48" s="104" t="s">
        <v>92</v>
      </c>
      <c r="B48" s="45"/>
      <c r="C48" s="22"/>
      <c r="D48" s="52">
        <v>3824</v>
      </c>
      <c r="E48" s="53">
        <f t="shared" si="2"/>
        <v>1.362592003466343E-2</v>
      </c>
      <c r="F48" s="51">
        <f t="shared" si="9"/>
        <v>3900.48</v>
      </c>
      <c r="G48" s="53">
        <f t="shared" si="3"/>
        <v>1.3609612220455911E-2</v>
      </c>
      <c r="H48" s="51">
        <f t="shared" si="6"/>
        <v>3978.4895999999999</v>
      </c>
      <c r="I48" s="53">
        <f t="shared" si="4"/>
        <v>1.3187641782051545E-2</v>
      </c>
      <c r="J48" s="51">
        <f t="shared" si="7"/>
        <v>4058.0593920000001</v>
      </c>
      <c r="K48" s="53">
        <f t="shared" si="5"/>
        <v>1.305960642494425E-2</v>
      </c>
      <c r="L48" s="51">
        <f t="shared" si="8"/>
        <v>4139.22057984</v>
      </c>
      <c r="M48" s="53">
        <f>L48/L$40</f>
        <v>1.2795231000518607E-2</v>
      </c>
      <c r="N48" s="51">
        <f t="shared" si="9"/>
        <v>4222.0049914368001</v>
      </c>
      <c r="O48" s="22"/>
      <c r="P48" s="22"/>
      <c r="Q48" s="22"/>
      <c r="R48" s="22"/>
      <c r="S48" s="22"/>
    </row>
    <row r="49" spans="1:19">
      <c r="A49" s="104" t="s">
        <v>93</v>
      </c>
      <c r="B49" s="45"/>
      <c r="C49" s="22"/>
      <c r="D49" s="52">
        <v>9208</v>
      </c>
      <c r="E49" s="53">
        <f t="shared" ref="E49" si="12">D49/D$40</f>
        <v>3.2810531296856918E-2</v>
      </c>
      <c r="F49" s="51">
        <f>D49*(1+F$43)</f>
        <v>9392.16</v>
      </c>
      <c r="G49" s="53">
        <f t="shared" ref="G49" si="13">F49/F$40</f>
        <v>3.2771262899047603E-2</v>
      </c>
      <c r="H49" s="51">
        <f t="shared" ref="H49" si="14">F49*(1+H$43)</f>
        <v>9580.0031999999992</v>
      </c>
      <c r="I49" s="53">
        <f t="shared" ref="I49" si="15">H49/H$40</f>
        <v>3.1755179270170138E-2</v>
      </c>
      <c r="J49" s="51">
        <f t="shared" ref="J49" si="16">H49*(1+J$43)</f>
        <v>9771.6032639999994</v>
      </c>
      <c r="K49" s="53">
        <f t="shared" ref="K49" si="17">J49/J$40</f>
        <v>3.1446876558809268E-2</v>
      </c>
      <c r="L49" s="51">
        <f t="shared" ref="L49" si="18">J49*(1+L$43)</f>
        <v>9967.0353292799991</v>
      </c>
      <c r="M49" s="53">
        <f>L49/L$40</f>
        <v>3.0810273810872205E-2</v>
      </c>
      <c r="N49" s="51">
        <f t="shared" ref="N49" si="19">L49*(1+N$43)</f>
        <v>10166.3760358656</v>
      </c>
      <c r="O49" s="22"/>
      <c r="P49" s="22"/>
      <c r="Q49" s="22"/>
      <c r="R49" s="22"/>
      <c r="S49" s="22"/>
    </row>
    <row r="50" spans="1:19">
      <c r="A50" s="104" t="s">
        <v>90</v>
      </c>
      <c r="B50" s="45"/>
      <c r="C50" s="22"/>
      <c r="D50" s="52">
        <v>9240</v>
      </c>
      <c r="E50" s="53">
        <f>D50/D$40</f>
        <v>3.2924555732293435E-2</v>
      </c>
      <c r="F50" s="51">
        <f>D50*(1+F$43)</f>
        <v>9424.7999999999993</v>
      </c>
      <c r="G50" s="53">
        <f t="shared" si="3"/>
        <v>3.2885150867419617E-2</v>
      </c>
      <c r="H50" s="51">
        <f t="shared" si="6"/>
        <v>9613.2960000000003</v>
      </c>
      <c r="I50" s="53">
        <f t="shared" si="4"/>
        <v>3.1865536105166389E-2</v>
      </c>
      <c r="J50" s="51">
        <f t="shared" si="7"/>
        <v>9805.5619200000001</v>
      </c>
      <c r="K50" s="53">
        <f t="shared" si="5"/>
        <v>3.1556161968223029E-2</v>
      </c>
      <c r="L50" s="51">
        <f t="shared" si="8"/>
        <v>10001.673158400001</v>
      </c>
      <c r="M50" s="53">
        <f t="shared" ref="M50:M51" si="20">L50/L$40</f>
        <v>3.091734687363806E-2</v>
      </c>
      <c r="N50" s="51">
        <f t="shared" si="9"/>
        <v>10201.706621568001</v>
      </c>
      <c r="O50" s="22"/>
      <c r="P50" s="22"/>
      <c r="Q50" s="22"/>
      <c r="R50" s="22"/>
      <c r="S50" s="22"/>
    </row>
    <row r="51" spans="1:19">
      <c r="A51" s="104" t="s">
        <v>62</v>
      </c>
      <c r="B51" s="45"/>
      <c r="C51" s="22"/>
      <c r="D51" s="52">
        <f>D$40*0.05</f>
        <v>14032.08</v>
      </c>
      <c r="E51" s="53">
        <f t="shared" si="2"/>
        <v>0.05</v>
      </c>
      <c r="F51" s="51">
        <f>D51*(1+F$43)</f>
        <v>14312.721600000001</v>
      </c>
      <c r="G51" s="53">
        <f t="shared" si="3"/>
        <v>4.9940158851049944E-2</v>
      </c>
      <c r="H51" s="51">
        <f t="shared" si="6"/>
        <v>14598.976032</v>
      </c>
      <c r="I51" s="53">
        <f t="shared" si="4"/>
        <v>4.8391748037941905E-2</v>
      </c>
      <c r="J51" s="51">
        <f t="shared" si="7"/>
        <v>14890.95555264</v>
      </c>
      <c r="K51" s="53">
        <f t="shared" si="5"/>
        <v>4.7921925241457039E-2</v>
      </c>
      <c r="L51" s="51">
        <f t="shared" si="8"/>
        <v>15188.7746636928</v>
      </c>
      <c r="M51" s="53">
        <f t="shared" si="20"/>
        <v>4.6951805705480423E-2</v>
      </c>
      <c r="N51" s="51">
        <f>L51*(1+N$43)</f>
        <v>15492.550156966658</v>
      </c>
      <c r="O51" s="22"/>
      <c r="P51" s="22"/>
      <c r="Q51" s="22"/>
      <c r="R51" s="22"/>
      <c r="S51" s="22"/>
    </row>
    <row r="52" spans="1:19">
      <c r="A52" s="45" t="s">
        <v>27</v>
      </c>
      <c r="B52" s="45"/>
      <c r="C52" s="22"/>
      <c r="D52" s="108">
        <f>D$40*0.06</f>
        <v>16838.495999999999</v>
      </c>
      <c r="E52" s="53">
        <f t="shared" si="2"/>
        <v>6.0000000000000005E-2</v>
      </c>
      <c r="F52" s="51">
        <f t="shared" si="9"/>
        <v>17175.265919999998</v>
      </c>
      <c r="G52" s="53">
        <f t="shared" si="3"/>
        <v>5.9928190621259925E-2</v>
      </c>
      <c r="H52" s="51">
        <f t="shared" si="6"/>
        <v>17518.771238399997</v>
      </c>
      <c r="I52" s="53">
        <f t="shared" si="4"/>
        <v>5.8070097645530276E-2</v>
      </c>
      <c r="J52" s="51">
        <f t="shared" si="7"/>
        <v>17869.146663167998</v>
      </c>
      <c r="K52" s="53">
        <f t="shared" si="5"/>
        <v>5.7506310289748439E-2</v>
      </c>
      <c r="L52" s="51">
        <f t="shared" si="8"/>
        <v>18226.529596431359</v>
      </c>
      <c r="M52" s="53">
        <f>L52/L$40</f>
        <v>5.6342166846576502E-2</v>
      </c>
      <c r="N52" s="51">
        <f t="shared" si="9"/>
        <v>18591.060188359988</v>
      </c>
      <c r="O52" s="22"/>
      <c r="P52" s="22"/>
      <c r="Q52" s="22"/>
      <c r="R52" s="22"/>
      <c r="S52" s="22"/>
    </row>
    <row r="53" spans="1:19">
      <c r="A53" s="45" t="s">
        <v>28</v>
      </c>
      <c r="B53" s="45"/>
      <c r="C53" s="22"/>
      <c r="D53" s="54">
        <f>B4*200</f>
        <v>5600</v>
      </c>
      <c r="E53" s="55">
        <f t="shared" si="2"/>
        <v>1.995427620138996E-2</v>
      </c>
      <c r="F53" s="74">
        <f t="shared" ref="F53" si="21">D53*(1+F$43)</f>
        <v>5712</v>
      </c>
      <c r="G53" s="55">
        <f t="shared" si="3"/>
        <v>1.9930394465102797E-2</v>
      </c>
      <c r="H53" s="74">
        <f t="shared" si="6"/>
        <v>5826.24</v>
      </c>
      <c r="I53" s="55">
        <f t="shared" si="4"/>
        <v>1.9312446124343265E-2</v>
      </c>
      <c r="J53" s="74">
        <f t="shared" si="7"/>
        <v>5942.7647999999999</v>
      </c>
      <c r="K53" s="55">
        <f t="shared" si="5"/>
        <v>1.9124946647407898E-2</v>
      </c>
      <c r="L53" s="74">
        <f t="shared" si="8"/>
        <v>6061.6200959999996</v>
      </c>
      <c r="M53" s="55">
        <f>L53/L$40</f>
        <v>1.8737785984023064E-2</v>
      </c>
      <c r="N53" s="51">
        <f t="shared" ref="N53" si="22">L53*(1+N$43)</f>
        <v>6182.8524979200001</v>
      </c>
      <c r="O53" s="22"/>
      <c r="P53" s="22"/>
      <c r="Q53" s="22"/>
      <c r="R53" s="22"/>
      <c r="S53" s="22"/>
    </row>
    <row r="54" spans="1:19">
      <c r="A54" s="3" t="s">
        <v>63</v>
      </c>
      <c r="B54" s="32"/>
      <c r="C54" s="32"/>
      <c r="D54" s="2">
        <f>SUM(D44:D53)</f>
        <v>104333.576</v>
      </c>
      <c r="E54" s="34">
        <f t="shared" ref="E54:N54" si="23">SUM(E44:E53)</f>
        <v>0.37176803438976974</v>
      </c>
      <c r="F54" s="2">
        <f t="shared" si="23"/>
        <v>106675.42752000003</v>
      </c>
      <c r="G54" s="34">
        <f t="shared" si="23"/>
        <v>0.37221347167490948</v>
      </c>
      <c r="H54" s="2">
        <f t="shared" si="23"/>
        <v>109076.87507040003</v>
      </c>
      <c r="I54" s="34">
        <f t="shared" si="23"/>
        <v>0.36156101932100648</v>
      </c>
      <c r="J54" s="2">
        <f t="shared" si="23"/>
        <v>111539.748521808</v>
      </c>
      <c r="K54" s="34">
        <f t="shared" si="23"/>
        <v>0.35895611072221334</v>
      </c>
      <c r="L54" s="2">
        <f t="shared" si="23"/>
        <v>114065.94623974417</v>
      </c>
      <c r="M54" s="34">
        <f t="shared" si="23"/>
        <v>0.35260264662838525</v>
      </c>
      <c r="N54" s="2">
        <f t="shared" si="23"/>
        <v>116657.43804941405</v>
      </c>
      <c r="O54" s="47"/>
      <c r="P54" s="22"/>
      <c r="Q54" s="22"/>
      <c r="R54" s="22"/>
      <c r="S54" s="22"/>
    </row>
    <row r="55" spans="1:19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3" t="s">
        <v>64</v>
      </c>
      <c r="B56" s="32"/>
      <c r="C56" s="32"/>
      <c r="D56" s="2">
        <f>D$40-D$54</f>
        <v>176308.02399999998</v>
      </c>
      <c r="E56" s="34"/>
      <c r="F56" s="2">
        <f>F$40-F$54</f>
        <v>179922.01087999996</v>
      </c>
      <c r="G56" s="34"/>
      <c r="H56" s="2">
        <f>H$40-H$54</f>
        <v>192606.29662560002</v>
      </c>
      <c r="I56" s="34"/>
      <c r="J56" s="2">
        <f>J$40-J$54</f>
        <v>199193.91832507198</v>
      </c>
      <c r="K56" s="34"/>
      <c r="L56" s="2">
        <f>L$40-L$54</f>
        <v>209431.18950342704</v>
      </c>
      <c r="M56" s="34"/>
      <c r="N56" s="2">
        <f>N$40-N$54</f>
        <v>216544.61176605235</v>
      </c>
      <c r="O56" s="47"/>
      <c r="P56" s="22"/>
      <c r="Q56" s="22"/>
      <c r="R56" s="22"/>
      <c r="S56" s="22"/>
    </row>
    <row r="57" spans="1:19">
      <c r="A57" s="22"/>
      <c r="B57" s="22"/>
      <c r="C57" s="22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22"/>
      <c r="Q57" s="22"/>
      <c r="R57" s="22"/>
      <c r="S57" s="22"/>
    </row>
    <row r="58" spans="1:19">
      <c r="A58" s="45" t="s">
        <v>69</v>
      </c>
      <c r="B58" s="22"/>
      <c r="C58" s="22"/>
      <c r="D58" s="112">
        <f>F7*12</f>
        <v>121604.47435821137</v>
      </c>
      <c r="E58" s="113"/>
      <c r="F58" s="112">
        <f>D58</f>
        <v>121604.47435821137</v>
      </c>
      <c r="G58" s="47"/>
      <c r="H58" s="27">
        <f>D58</f>
        <v>121604.47435821137</v>
      </c>
      <c r="I58" s="47"/>
      <c r="J58" s="27">
        <f>F58</f>
        <v>121604.47435821137</v>
      </c>
      <c r="K58" s="47"/>
      <c r="L58" s="27">
        <f>H58</f>
        <v>121604.47435821137</v>
      </c>
      <c r="M58" s="22"/>
      <c r="N58" s="22"/>
      <c r="O58" s="47"/>
      <c r="P58" s="22"/>
      <c r="Q58" s="22"/>
      <c r="R58" s="22"/>
      <c r="S58" s="22"/>
    </row>
    <row r="59" spans="1:19">
      <c r="A59" s="3" t="s">
        <v>71</v>
      </c>
      <c r="B59" s="32"/>
      <c r="C59" s="32"/>
      <c r="D59" s="2">
        <f>D$56-D$58</f>
        <v>54703.549641788602</v>
      </c>
      <c r="E59" s="34"/>
      <c r="F59" s="2">
        <f>F$56-F$58</f>
        <v>58317.536521788585</v>
      </c>
      <c r="G59" s="34"/>
      <c r="H59" s="2">
        <f>H$56-H$58</f>
        <v>71001.822267388648</v>
      </c>
      <c r="I59" s="34"/>
      <c r="J59" s="2">
        <f>J$56-J$58</f>
        <v>77589.443966860606</v>
      </c>
      <c r="K59" s="34"/>
      <c r="L59" s="2">
        <f>L$56-L$58</f>
        <v>87826.715145215669</v>
      </c>
      <c r="M59" s="22"/>
      <c r="N59" s="22"/>
      <c r="O59" s="47"/>
      <c r="P59" s="22"/>
      <c r="Q59" s="22"/>
      <c r="R59" s="22"/>
      <c r="S59" s="22"/>
    </row>
    <row r="60" spans="1:19">
      <c r="A60" s="22"/>
      <c r="B60" s="22"/>
      <c r="C60" s="22"/>
      <c r="D60" s="47"/>
      <c r="E60" s="47"/>
      <c r="F60" s="47"/>
      <c r="G60" s="47"/>
      <c r="H60" s="47"/>
      <c r="I60" s="47"/>
      <c r="J60" s="47"/>
      <c r="K60" s="47"/>
      <c r="L60" s="47"/>
      <c r="M60" s="22"/>
      <c r="N60" s="22"/>
      <c r="O60" s="47"/>
      <c r="P60" s="22"/>
      <c r="Q60" s="22"/>
      <c r="R60" s="22"/>
      <c r="S60" s="22"/>
    </row>
    <row r="61" spans="1:19">
      <c r="A61" s="3" t="s">
        <v>77</v>
      </c>
      <c r="B61" s="32"/>
      <c r="C61" s="32"/>
      <c r="D61" s="84">
        <f>PV($F$6/12,$F$5-(D31*12),$F$7)</f>
        <v>-1967735.4661662905</v>
      </c>
      <c r="E61" s="84"/>
      <c r="F61" s="84">
        <f>PV($F$6/12,$F$5-(F31*12),$F$7)</f>
        <v>-1933988.7052932642</v>
      </c>
      <c r="G61" s="84"/>
      <c r="H61" s="84">
        <f>PV($F$6/12,$F$5-(H31*12),$F$7)</f>
        <v>-1898691.6241300444</v>
      </c>
      <c r="I61" s="84"/>
      <c r="J61" s="84">
        <f>PV($F$6/12,$F$5-(J31*12),$F$7)</f>
        <v>-1861773.0012337423</v>
      </c>
      <c r="K61" s="84"/>
      <c r="L61" s="84">
        <f>PV($F$6/12,$F$5-(L31*12),$F$7)</f>
        <v>-1823158.3432608452</v>
      </c>
      <c r="M61" s="22"/>
      <c r="N61" s="22"/>
      <c r="O61" s="47"/>
      <c r="P61" s="22"/>
      <c r="Q61" s="22"/>
      <c r="R61" s="22"/>
      <c r="S61" s="22"/>
    </row>
    <row r="62" spans="1:19">
      <c r="A62" s="3" t="s">
        <v>15</v>
      </c>
      <c r="B62" s="32"/>
      <c r="C62" s="32"/>
      <c r="D62" s="83">
        <f>D$56/($F$7*12)</f>
        <v>1.4498481649667583</v>
      </c>
      <c r="E62" s="84"/>
      <c r="F62" s="83">
        <f>F$56/($F$7*12)</f>
        <v>1.4795673582700757</v>
      </c>
      <c r="G62" s="83"/>
      <c r="H62" s="83">
        <f>H$56/($F$7*12)</f>
        <v>1.5838750806013762</v>
      </c>
      <c r="I62" s="83"/>
      <c r="J62" s="83">
        <f>J$56/($F$7*12)</f>
        <v>1.6380476078396975</v>
      </c>
      <c r="K62" s="83"/>
      <c r="L62" s="83">
        <f>L$56/($F$7*12)</f>
        <v>1.7222325955417046</v>
      </c>
      <c r="M62" s="47"/>
      <c r="N62" s="47"/>
      <c r="O62" s="47"/>
      <c r="P62" s="22"/>
      <c r="Q62" s="22"/>
      <c r="R62" s="22"/>
      <c r="S62" s="22"/>
    </row>
    <row r="63" spans="1:19">
      <c r="A63" s="22"/>
      <c r="B63" s="22"/>
      <c r="C63" s="22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22"/>
      <c r="Q63" s="22"/>
      <c r="R63" s="22"/>
      <c r="S63" s="22"/>
    </row>
    <row r="64" spans="1:19">
      <c r="A64" s="41" t="s">
        <v>73</v>
      </c>
      <c r="B64" s="22"/>
      <c r="C64" s="47" t="s">
        <v>72</v>
      </c>
      <c r="D64" s="38">
        <v>1</v>
      </c>
      <c r="E64" s="38"/>
      <c r="F64" s="39">
        <f>D64+1</f>
        <v>2</v>
      </c>
      <c r="G64" s="39"/>
      <c r="H64" s="39">
        <f>F64+1</f>
        <v>3</v>
      </c>
      <c r="I64" s="39"/>
      <c r="J64" s="39">
        <f>H64+1</f>
        <v>4</v>
      </c>
      <c r="K64" s="39"/>
      <c r="L64" s="39">
        <f>J64+1</f>
        <v>5</v>
      </c>
      <c r="M64" s="39"/>
      <c r="N64" s="39"/>
      <c r="O64" s="22"/>
      <c r="P64" s="22"/>
      <c r="Q64" s="22"/>
      <c r="R64" s="22"/>
      <c r="S64" s="22"/>
    </row>
    <row r="65" spans="1:19">
      <c r="A65" s="4" t="s">
        <v>74</v>
      </c>
      <c r="B65" s="22"/>
      <c r="C65" s="82">
        <f>-J9</f>
        <v>-1075000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22" t="s">
        <v>71</v>
      </c>
      <c r="B66" s="22"/>
      <c r="C66" s="22"/>
      <c r="D66" s="73">
        <f>D59</f>
        <v>54703.549641788602</v>
      </c>
      <c r="E66" s="22"/>
      <c r="F66" s="73">
        <f>F59</f>
        <v>58317.536521788585</v>
      </c>
      <c r="G66" s="22"/>
      <c r="H66" s="73">
        <f>H59</f>
        <v>71001.822267388648</v>
      </c>
      <c r="I66" s="22"/>
      <c r="J66" s="73">
        <f>J59</f>
        <v>77589.443966860606</v>
      </c>
      <c r="K66" s="22"/>
      <c r="L66" s="73">
        <f>L59</f>
        <v>87826.715145215669</v>
      </c>
      <c r="M66" s="22"/>
      <c r="N66" s="73"/>
      <c r="O66" s="22"/>
      <c r="P66" s="22"/>
      <c r="Q66" s="22"/>
      <c r="R66" s="22"/>
      <c r="S66" s="22"/>
    </row>
    <row r="67" spans="1:19">
      <c r="A67" s="22" t="s">
        <v>75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73">
        <f>N56/M2</f>
        <v>3765993.2481052582</v>
      </c>
      <c r="M67" s="22"/>
      <c r="N67" s="22"/>
      <c r="O67" s="22"/>
      <c r="P67" s="22"/>
      <c r="Q67" s="22"/>
      <c r="R67" s="22"/>
      <c r="S67" s="22"/>
    </row>
    <row r="68" spans="1:19">
      <c r="A68" s="22" t="s">
        <v>59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82">
        <f>-M8*L67</f>
        <v>-197714.64552552605</v>
      </c>
      <c r="M68" s="22"/>
      <c r="N68" s="22"/>
      <c r="O68" s="22"/>
      <c r="P68" s="22"/>
      <c r="Q68" s="22"/>
      <c r="R68" s="22"/>
      <c r="S68" s="22"/>
    </row>
    <row r="69" spans="1:19">
      <c r="A69" s="4" t="s">
        <v>76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85">
        <f>L61</f>
        <v>-1823158.3432608452</v>
      </c>
      <c r="M69" s="22"/>
      <c r="N69" s="22"/>
      <c r="O69" s="22"/>
      <c r="P69" s="22"/>
      <c r="Q69" s="22"/>
      <c r="R69" s="22"/>
      <c r="S69" s="22"/>
    </row>
    <row r="70" spans="1:19">
      <c r="A70" s="22" t="s">
        <v>78</v>
      </c>
      <c r="B70" s="22"/>
      <c r="C70" s="82">
        <f>SUM(C$65:C$69)</f>
        <v>-1075000</v>
      </c>
      <c r="D70" s="82">
        <f>SUM(D$65:D$69)</f>
        <v>54703.549641788602</v>
      </c>
      <c r="E70" s="82"/>
      <c r="F70" s="82">
        <f t="shared" ref="F70:J70" si="24">SUM(F$65:F$69)</f>
        <v>58317.536521788585</v>
      </c>
      <c r="G70" s="82"/>
      <c r="H70" s="82">
        <f t="shared" si="24"/>
        <v>71001.822267388648</v>
      </c>
      <c r="I70" s="82"/>
      <c r="J70" s="82">
        <f t="shared" si="24"/>
        <v>77589.443966860606</v>
      </c>
      <c r="K70" s="82"/>
      <c r="L70" s="82">
        <f>SUM(L$65:L$69)</f>
        <v>1832946.9744641026</v>
      </c>
      <c r="M70" s="22"/>
      <c r="N70" s="22"/>
      <c r="O70" s="22"/>
      <c r="P70" s="22"/>
      <c r="Q70" s="22"/>
      <c r="R70" s="22"/>
      <c r="S70" s="22"/>
    </row>
    <row r="71" spans="1:19">
      <c r="A71" s="1" t="s">
        <v>22</v>
      </c>
      <c r="B71" s="1"/>
      <c r="C71" s="1"/>
      <c r="D71" s="92">
        <f>-D$66/$C$70</f>
        <v>5.0887022922594047E-2</v>
      </c>
      <c r="E71" s="1"/>
      <c r="F71" s="92">
        <f>-F$66/$C$70</f>
        <v>5.4248871183059148E-2</v>
      </c>
      <c r="G71" s="1"/>
      <c r="H71" s="92">
        <f>-H$66/$C$70</f>
        <v>6.6048206760361536E-2</v>
      </c>
      <c r="I71" s="1"/>
      <c r="J71" s="92">
        <f>-J$66/$C$70</f>
        <v>7.2176226945916841E-2</v>
      </c>
      <c r="K71" s="1"/>
      <c r="L71" s="92">
        <f>-L$66/$C$70</f>
        <v>8.1699269902526198E-2</v>
      </c>
      <c r="M71" s="22"/>
      <c r="N71" s="22"/>
      <c r="O71" s="22"/>
      <c r="P71" s="22"/>
      <c r="Q71" s="22"/>
      <c r="R71" s="22"/>
      <c r="S71" s="22"/>
    </row>
    <row r="72" spans="1:19">
      <c r="A72" s="1" t="s">
        <v>79</v>
      </c>
      <c r="B72" s="1"/>
      <c r="C72" s="92">
        <f>IRR(C70:L70)</f>
        <v>0.1544126531428629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10" spans="1:19">
      <c r="H110" s="56"/>
      <c r="I110" s="56"/>
    </row>
    <row r="111" spans="1:19">
      <c r="H111" s="56"/>
      <c r="I111" s="56"/>
    </row>
    <row r="112" spans="1:19">
      <c r="H112" s="56"/>
      <c r="I112" s="56"/>
    </row>
    <row r="113" spans="8:9">
      <c r="H113" s="56"/>
      <c r="I113" s="56"/>
    </row>
    <row r="114" spans="8:9">
      <c r="H114" s="56"/>
      <c r="I114" s="56"/>
    </row>
    <row r="115" spans="8:9">
      <c r="H115" s="56"/>
      <c r="I115" s="56"/>
    </row>
    <row r="116" spans="8:9">
      <c r="H116" s="56"/>
      <c r="I116" s="56"/>
    </row>
    <row r="117" spans="8:9">
      <c r="H117" s="56"/>
      <c r="I117" s="56"/>
    </row>
    <row r="118" spans="8:9">
      <c r="H118" s="56"/>
      <c r="I118" s="56"/>
    </row>
  </sheetData>
  <mergeCells count="29">
    <mergeCell ref="N19:N20"/>
    <mergeCell ref="I19:I20"/>
    <mergeCell ref="A19:A20"/>
    <mergeCell ref="B19:B20"/>
    <mergeCell ref="L19:L20"/>
    <mergeCell ref="J19:J20"/>
    <mergeCell ref="K19:K20"/>
    <mergeCell ref="M19:M20"/>
    <mergeCell ref="A1:B1"/>
    <mergeCell ref="C19:C20"/>
    <mergeCell ref="D19:D20"/>
    <mergeCell ref="E19:E20"/>
    <mergeCell ref="H19:H20"/>
    <mergeCell ref="F19:F20"/>
    <mergeCell ref="D1:F1"/>
    <mergeCell ref="H1:J1"/>
    <mergeCell ref="D4:E4"/>
    <mergeCell ref="D5:E5"/>
    <mergeCell ref="D6:E6"/>
    <mergeCell ref="D7:E7"/>
    <mergeCell ref="H5:I5"/>
    <mergeCell ref="H6:I6"/>
    <mergeCell ref="H7:I7"/>
    <mergeCell ref="I18:N18"/>
    <mergeCell ref="H2:I2"/>
    <mergeCell ref="H9:I9"/>
    <mergeCell ref="L1:M1"/>
    <mergeCell ref="G19:G20"/>
    <mergeCell ref="D8:E8"/>
  </mergeCells>
  <pageMargins left="0.75" right="0.75" top="1" bottom="1" header="0.5" footer="0.5"/>
  <pageSetup orientation="portrait" horizontalDpi="4294967292" verticalDpi="4294967292" r:id="rId1"/>
  <ignoredErrors>
    <ignoredError sqref="L50:L52 L45:L48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Rent Roll</vt:lpstr>
      <vt:lpstr>Financial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Jianhua (GE Healthcare)</dc:creator>
  <cp:lastModifiedBy>Administrator</cp:lastModifiedBy>
  <dcterms:created xsi:type="dcterms:W3CDTF">2019-06-10T18:32:57Z</dcterms:created>
  <dcterms:modified xsi:type="dcterms:W3CDTF">2020-06-11T17:47:17Z</dcterms:modified>
</cp:coreProperties>
</file>