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Dropbox\0 北美地产学堂\商业地产小型多单位公寓课程\小型多单位公寓进阶课程\进阶课程内容\二期\上课材料\小型多单位公寓二阶课程 Week 2\Homework\"/>
    </mc:Choice>
  </mc:AlternateContent>
  <xr:revisionPtr revIDLastSave="0" documentId="13_ncr:1_{2ED56BD9-43EF-4B97-BFEE-95F8209ED128}" xr6:coauthVersionLast="45" xr6:coauthVersionMax="45" xr10:uidLastSave="{00000000-0000-0000-0000-000000000000}"/>
  <bookViews>
    <workbookView xWindow="-60" yWindow="-60" windowWidth="38520" windowHeight="21060" tabRatio="764" activeTab="1" xr2:uid="{00000000-000D-0000-FFFF-FFFF00000000}"/>
  </bookViews>
  <sheets>
    <sheet name="Rent Roll" sheetId="10" r:id="rId1"/>
    <sheet name="Financial Summary" sheetId="6" r:id="rId2"/>
  </sheets>
  <definedNames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6" l="1"/>
  <c r="H23" i="6" s="1"/>
  <c r="C24" i="6"/>
  <c r="C25" i="6"/>
  <c r="C23" i="6"/>
  <c r="C22" i="6"/>
  <c r="C21" i="6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D26" i="6"/>
  <c r="F22" i="6"/>
  <c r="G22" i="6" s="1"/>
  <c r="J22" i="6"/>
  <c r="K22" i="6" s="1"/>
  <c r="L22" i="6"/>
  <c r="J23" i="6"/>
  <c r="K23" i="6"/>
  <c r="L23" i="6"/>
  <c r="F24" i="6"/>
  <c r="G24" i="6" s="1"/>
  <c r="J24" i="6"/>
  <c r="K24" i="6"/>
  <c r="L24" i="6"/>
  <c r="F25" i="6"/>
  <c r="G25" i="6" s="1"/>
  <c r="J25" i="6"/>
  <c r="K25" i="6"/>
  <c r="L25" i="6"/>
  <c r="G23" i="6" l="1"/>
  <c r="C26" i="6"/>
  <c r="M25" i="6"/>
  <c r="N25" i="6" s="1"/>
  <c r="M23" i="6"/>
  <c r="N23" i="6" s="1"/>
  <c r="H25" i="6"/>
  <c r="M22" i="6"/>
  <c r="N22" i="6" s="1"/>
  <c r="H22" i="6"/>
  <c r="M24" i="6"/>
  <c r="N24" i="6" s="1"/>
  <c r="H24" i="6"/>
  <c r="F46" i="6"/>
  <c r="H46" i="6" s="1"/>
  <c r="J46" i="6" s="1"/>
  <c r="L46" i="6" s="1"/>
  <c r="N46" i="6" s="1"/>
  <c r="F51" i="6"/>
  <c r="H51" i="6" s="1"/>
  <c r="F49" i="6"/>
  <c r="F48" i="6"/>
  <c r="F47" i="6"/>
  <c r="M8" i="6"/>
  <c r="J3" i="6"/>
  <c r="J21" i="6"/>
  <c r="K21" i="6" s="1"/>
  <c r="G24" i="10"/>
  <c r="D24" i="10"/>
  <c r="F26" i="6" s="1"/>
  <c r="F21" i="6"/>
  <c r="J51" i="6" l="1"/>
  <c r="E4" i="10"/>
  <c r="F4" i="10"/>
  <c r="I4" i="10"/>
  <c r="J4" i="10"/>
  <c r="K4" i="10"/>
  <c r="E5" i="10"/>
  <c r="F5" i="10"/>
  <c r="I5" i="10"/>
  <c r="J5" i="10"/>
  <c r="K5" i="10"/>
  <c r="E6" i="10"/>
  <c r="F6" i="10"/>
  <c r="I6" i="10"/>
  <c r="J6" i="10"/>
  <c r="K6" i="10"/>
  <c r="E7" i="10"/>
  <c r="F7" i="10"/>
  <c r="I7" i="10"/>
  <c r="J7" i="10"/>
  <c r="K7" i="10"/>
  <c r="E8" i="10"/>
  <c r="F8" i="10"/>
  <c r="I8" i="10"/>
  <c r="J8" i="10"/>
  <c r="K8" i="10"/>
  <c r="E9" i="10"/>
  <c r="F9" i="10"/>
  <c r="I9" i="10"/>
  <c r="J9" i="10"/>
  <c r="K9" i="10"/>
  <c r="E10" i="10"/>
  <c r="F10" i="10"/>
  <c r="I10" i="10"/>
  <c r="J10" i="10"/>
  <c r="K10" i="10"/>
  <c r="E11" i="10"/>
  <c r="F11" i="10"/>
  <c r="I11" i="10"/>
  <c r="J11" i="10"/>
  <c r="K11" i="10"/>
  <c r="E12" i="10"/>
  <c r="F12" i="10"/>
  <c r="I12" i="10"/>
  <c r="J12" i="10"/>
  <c r="K12" i="10"/>
  <c r="E13" i="10"/>
  <c r="F13" i="10"/>
  <c r="I13" i="10"/>
  <c r="J13" i="10"/>
  <c r="K13" i="10"/>
  <c r="E14" i="10"/>
  <c r="F14" i="10"/>
  <c r="I14" i="10"/>
  <c r="J14" i="10"/>
  <c r="K14" i="10"/>
  <c r="L51" i="6" l="1"/>
  <c r="F65" i="6"/>
  <c r="H65" i="6" s="1"/>
  <c r="J65" i="6" s="1"/>
  <c r="L65" i="6" s="1"/>
  <c r="B13" i="6"/>
  <c r="F3" i="6"/>
  <c r="J2" i="6" s="1"/>
  <c r="E2" i="6"/>
  <c r="J8" i="6"/>
  <c r="J4" i="6"/>
  <c r="D54" i="6"/>
  <c r="F54" i="6" s="1"/>
  <c r="H54" i="6" s="1"/>
  <c r="H47" i="6"/>
  <c r="J47" i="6" s="1"/>
  <c r="H48" i="6"/>
  <c r="J48" i="6" s="1"/>
  <c r="L48" i="6" s="1"/>
  <c r="N48" i="6" s="1"/>
  <c r="H49" i="6"/>
  <c r="J49" i="6" s="1"/>
  <c r="L49" i="6" s="1"/>
  <c r="F50" i="6"/>
  <c r="H50" i="6" s="1"/>
  <c r="J50" i="6" s="1"/>
  <c r="L50" i="6" s="1"/>
  <c r="N50" i="6" s="1"/>
  <c r="F37" i="6"/>
  <c r="H37" i="6" s="1"/>
  <c r="J37" i="6" s="1"/>
  <c r="L37" i="6" s="1"/>
  <c r="N37" i="6" s="1"/>
  <c r="J26" i="6"/>
  <c r="L21" i="6"/>
  <c r="G21" i="6"/>
  <c r="M21" i="6" s="1"/>
  <c r="A26" i="6"/>
  <c r="F34" i="6"/>
  <c r="H34" i="6" s="1"/>
  <c r="J34" i="6" s="1"/>
  <c r="L34" i="6" s="1"/>
  <c r="N34" i="6" s="1"/>
  <c r="E16" i="10"/>
  <c r="E17" i="10"/>
  <c r="E15" i="10"/>
  <c r="E18" i="10"/>
  <c r="E19" i="10"/>
  <c r="E20" i="10"/>
  <c r="E21" i="10"/>
  <c r="E22" i="10"/>
  <c r="E23" i="10"/>
  <c r="H24" i="10"/>
  <c r="I15" i="10"/>
  <c r="J15" i="10"/>
  <c r="K15" i="10"/>
  <c r="I16" i="10"/>
  <c r="J16" i="10"/>
  <c r="K16" i="10"/>
  <c r="I17" i="10"/>
  <c r="J17" i="10"/>
  <c r="K17" i="10"/>
  <c r="I18" i="10"/>
  <c r="J18" i="10"/>
  <c r="K18" i="10"/>
  <c r="I19" i="10"/>
  <c r="J19" i="10"/>
  <c r="K19" i="10"/>
  <c r="I20" i="10"/>
  <c r="J20" i="10"/>
  <c r="K20" i="10"/>
  <c r="I21" i="10"/>
  <c r="J21" i="10"/>
  <c r="K21" i="10"/>
  <c r="I22" i="10"/>
  <c r="J22" i="10"/>
  <c r="K22" i="10"/>
  <c r="I23" i="10"/>
  <c r="J23" i="10"/>
  <c r="K23" i="10"/>
  <c r="F15" i="10"/>
  <c r="F16" i="10"/>
  <c r="F17" i="10"/>
  <c r="F18" i="10"/>
  <c r="F19" i="10"/>
  <c r="F20" i="10"/>
  <c r="F21" i="10"/>
  <c r="F22" i="10"/>
  <c r="F23" i="10"/>
  <c r="F7" i="6"/>
  <c r="J24" i="10" l="1"/>
  <c r="M26" i="6" s="1"/>
  <c r="E24" i="10"/>
  <c r="G26" i="6" s="1"/>
  <c r="D36" i="6" s="1"/>
  <c r="B11" i="6" s="1"/>
  <c r="K24" i="10"/>
  <c r="I24" i="10"/>
  <c r="L26" i="6" s="1"/>
  <c r="F24" i="10"/>
  <c r="H26" i="6" s="1"/>
  <c r="D59" i="6"/>
  <c r="H59" i="6" s="1"/>
  <c r="L59" i="6" s="1"/>
  <c r="L62" i="6"/>
  <c r="L70" i="6" s="1"/>
  <c r="D62" i="6"/>
  <c r="N51" i="6"/>
  <c r="K26" i="6"/>
  <c r="H62" i="6"/>
  <c r="F62" i="6"/>
  <c r="B12" i="6"/>
  <c r="J62" i="6"/>
  <c r="E3" i="6"/>
  <c r="J54" i="6"/>
  <c r="L47" i="6"/>
  <c r="N47" i="6" s="1"/>
  <c r="B8" i="6"/>
  <c r="N21" i="6"/>
  <c r="H21" i="6"/>
  <c r="F36" i="6" l="1"/>
  <c r="H36" i="6" s="1"/>
  <c r="N26" i="6"/>
  <c r="D38" i="6"/>
  <c r="D41" i="6" s="1"/>
  <c r="D42" i="6" s="1"/>
  <c r="F59" i="6"/>
  <c r="J59" i="6" s="1"/>
  <c r="L54" i="6"/>
  <c r="N49" i="6"/>
  <c r="E52" i="6" l="1"/>
  <c r="F38" i="6"/>
  <c r="F41" i="6" s="1"/>
  <c r="F42" i="6" s="1"/>
  <c r="E54" i="6"/>
  <c r="E51" i="6"/>
  <c r="E48" i="6"/>
  <c r="N54" i="6"/>
  <c r="E47" i="6"/>
  <c r="E50" i="6"/>
  <c r="E46" i="6"/>
  <c r="E49" i="6"/>
  <c r="J36" i="6"/>
  <c r="H38" i="6"/>
  <c r="D55" i="6" l="1"/>
  <c r="D57" i="6" s="1"/>
  <c r="G54" i="6"/>
  <c r="G51" i="6"/>
  <c r="F52" i="6"/>
  <c r="F53" i="6"/>
  <c r="H53" i="6" s="1"/>
  <c r="J53" i="6" s="1"/>
  <c r="L53" i="6" s="1"/>
  <c r="N53" i="6" s="1"/>
  <c r="E53" i="6"/>
  <c r="E55" i="6" s="1"/>
  <c r="G46" i="6"/>
  <c r="G50" i="6"/>
  <c r="G49" i="6"/>
  <c r="G48" i="6"/>
  <c r="G47" i="6"/>
  <c r="H41" i="6"/>
  <c r="H42" i="6" s="1"/>
  <c r="L36" i="6"/>
  <c r="J38" i="6"/>
  <c r="D63" i="6" l="1"/>
  <c r="D60" i="6"/>
  <c r="D67" i="6" s="1"/>
  <c r="F55" i="6"/>
  <c r="F57" i="6" s="1"/>
  <c r="F60" i="6" s="1"/>
  <c r="B10" i="6"/>
  <c r="I54" i="6"/>
  <c r="I51" i="6"/>
  <c r="F8" i="6"/>
  <c r="G53" i="6"/>
  <c r="H52" i="6"/>
  <c r="H55" i="6" s="1"/>
  <c r="G52" i="6"/>
  <c r="I47" i="6"/>
  <c r="I46" i="6"/>
  <c r="I50" i="6"/>
  <c r="I49" i="6"/>
  <c r="I48" i="6"/>
  <c r="I53" i="6"/>
  <c r="J41" i="6"/>
  <c r="J42" i="6" s="1"/>
  <c r="N36" i="6"/>
  <c r="N38" i="6" s="1"/>
  <c r="L38" i="6"/>
  <c r="G55" i="6" l="1"/>
  <c r="K54" i="6"/>
  <c r="K51" i="6"/>
  <c r="F67" i="6"/>
  <c r="F63" i="6"/>
  <c r="K50" i="6"/>
  <c r="K48" i="6"/>
  <c r="K47" i="6"/>
  <c r="K49" i="6"/>
  <c r="K46" i="6"/>
  <c r="K53" i="6"/>
  <c r="I52" i="6"/>
  <c r="I55" i="6" s="1"/>
  <c r="J52" i="6"/>
  <c r="J55" i="6" s="1"/>
  <c r="H57" i="6"/>
  <c r="L41" i="6"/>
  <c r="L42" i="6" s="1"/>
  <c r="N41" i="6"/>
  <c r="N42" i="6" s="1"/>
  <c r="M54" i="6" l="1"/>
  <c r="M51" i="6"/>
  <c r="H60" i="6"/>
  <c r="H67" i="6" s="1"/>
  <c r="H63" i="6"/>
  <c r="D71" i="6"/>
  <c r="F71" i="6"/>
  <c r="K52" i="6"/>
  <c r="K55" i="6" s="1"/>
  <c r="L52" i="6"/>
  <c r="L55" i="6" s="1"/>
  <c r="J57" i="6"/>
  <c r="M49" i="6"/>
  <c r="M48" i="6"/>
  <c r="M47" i="6"/>
  <c r="M53" i="6"/>
  <c r="M50" i="6"/>
  <c r="M46" i="6"/>
  <c r="J60" i="6" l="1"/>
  <c r="J67" i="6" s="1"/>
  <c r="J63" i="6"/>
  <c r="H71" i="6"/>
  <c r="M52" i="6"/>
  <c r="M55" i="6" s="1"/>
  <c r="N52" i="6"/>
  <c r="L57" i="6"/>
  <c r="N55" i="6" l="1"/>
  <c r="N57" i="6" s="1"/>
  <c r="L68" i="6" s="1"/>
  <c r="J71" i="6"/>
  <c r="L60" i="6"/>
  <c r="L67" i="6" s="1"/>
  <c r="L63" i="6"/>
  <c r="J9" i="6"/>
  <c r="C66" i="6" s="1"/>
  <c r="C71" i="6" s="1"/>
  <c r="J72" i="6" s="1"/>
  <c r="L72" i="6" l="1"/>
  <c r="D72" i="6"/>
  <c r="F72" i="6"/>
  <c r="H72" i="6"/>
  <c r="M4" i="6" l="1"/>
  <c r="M3" i="6"/>
  <c r="M5" i="6"/>
  <c r="L69" i="6"/>
  <c r="L71" i="6" s="1"/>
  <c r="C73" i="6" s="1"/>
</calcChain>
</file>

<file path=xl/sharedStrings.xml><?xml version="1.0" encoding="utf-8"?>
<sst xmlns="http://schemas.openxmlformats.org/spreadsheetml/2006/main" count="134" uniqueCount="97">
  <si>
    <t>Income</t>
  </si>
  <si>
    <t>Loan Amortization</t>
  </si>
  <si>
    <t>Units</t>
  </si>
  <si>
    <t>GRM</t>
  </si>
  <si>
    <t>Property Address</t>
  </si>
  <si>
    <t>Unit</t>
  </si>
  <si>
    <t>Loan Amount</t>
  </si>
  <si>
    <t>Term</t>
  </si>
  <si>
    <t>Interest Rate</t>
  </si>
  <si>
    <t>Price/SqFt</t>
  </si>
  <si>
    <t>Lot Size (SqFt)</t>
  </si>
  <si>
    <t>Price/Unit</t>
  </si>
  <si>
    <t>Property Information</t>
  </si>
  <si>
    <t>Down Payment</t>
  </si>
  <si>
    <t>Monthly Payment</t>
  </si>
  <si>
    <t>DSCR</t>
  </si>
  <si>
    <t>Vacancy Allowance</t>
  </si>
  <si>
    <t>Effective Gross Income</t>
  </si>
  <si>
    <t>Gross Potential Income</t>
  </si>
  <si>
    <t>Average Unit Size</t>
  </si>
  <si>
    <t>Rent Roll</t>
  </si>
  <si>
    <t>% of EGI</t>
  </si>
  <si>
    <t>Cash-on-Cash Return</t>
  </si>
  <si>
    <t>Building Size (SqFt)</t>
  </si>
  <si>
    <t>Unit Type</t>
  </si>
  <si>
    <t>Rent</t>
  </si>
  <si>
    <t>Expenses</t>
  </si>
  <si>
    <t>Repairs and Maintenance</t>
  </si>
  <si>
    <t>Reserves &amp; Replacements</t>
  </si>
  <si>
    <t>Unit SF</t>
  </si>
  <si>
    <t>Actual Rent/SF</t>
  </si>
  <si>
    <t>Pro Forma Rent/Month</t>
  </si>
  <si>
    <t>Actual Rent/Year</t>
  </si>
  <si>
    <t>Actual Rent/Month</t>
  </si>
  <si>
    <t>Pro Forma Rent/Year</t>
  </si>
  <si>
    <t>Pro Forma Rent/SF</t>
  </si>
  <si>
    <t>Average Unit SF</t>
  </si>
  <si>
    <t>Potential Upside</t>
  </si>
  <si>
    <t>Total Units</t>
  </si>
  <si>
    <t>Actual Average Rent/Month</t>
  </si>
  <si>
    <t>Actual Total Rent/Month</t>
  </si>
  <si>
    <t>Pro Forma Total Rent/Month</t>
  </si>
  <si>
    <t>Upside %</t>
  </si>
  <si>
    <t>%</t>
  </si>
  <si>
    <t>Property Name</t>
  </si>
  <si>
    <t>Going-in Cap Rate</t>
  </si>
  <si>
    <t>Purchase Price</t>
  </si>
  <si>
    <t>Debt</t>
  </si>
  <si>
    <t>Residual Value</t>
  </si>
  <si>
    <t>Exit Cap Rate</t>
  </si>
  <si>
    <t>Exit GRM</t>
  </si>
  <si>
    <t>Exit Price/SqFt</t>
  </si>
  <si>
    <t>Total Acquisition Costs</t>
  </si>
  <si>
    <t>Closing/Acquisition Costs</t>
  </si>
  <si>
    <t>Closing Cost</t>
  </si>
  <si>
    <t>Loan Point Cost</t>
  </si>
  <si>
    <t>Miscellaneous Cost</t>
  </si>
  <si>
    <t>Inspection Cost</t>
  </si>
  <si>
    <t>Appraisal Cost</t>
  </si>
  <si>
    <t>Selling Costs</t>
  </si>
  <si>
    <t>Eixt Price/Unit</t>
  </si>
  <si>
    <t>Insurance</t>
  </si>
  <si>
    <t>Management</t>
  </si>
  <si>
    <t>Total Expenses</t>
  </si>
  <si>
    <t>Net Operating Income</t>
  </si>
  <si>
    <t>Inflation</t>
  </si>
  <si>
    <t>Upside/Month</t>
  </si>
  <si>
    <t>Upside/Year</t>
  </si>
  <si>
    <t>Vacancy</t>
  </si>
  <si>
    <t>Debt Service</t>
  </si>
  <si>
    <t>Renovation Cost</t>
  </si>
  <si>
    <t>Before Tax Cash Flow</t>
  </si>
  <si>
    <t>Year 0</t>
  </si>
  <si>
    <t>Returns</t>
  </si>
  <si>
    <t>Acquisition Capital</t>
  </si>
  <si>
    <t>Sale</t>
  </si>
  <si>
    <t>Loan Payoff</t>
  </si>
  <si>
    <t>Loan Balance</t>
  </si>
  <si>
    <t>Total Levered Cash Flow</t>
  </si>
  <si>
    <t>Levered IRR</t>
  </si>
  <si>
    <t>Year Built/Renovated</t>
  </si>
  <si>
    <t>1B/1B</t>
  </si>
  <si>
    <t>3B/2B</t>
  </si>
  <si>
    <t>Other Income</t>
  </si>
  <si>
    <t>Property Taxes</t>
  </si>
  <si>
    <t>Utilities</t>
  </si>
  <si>
    <t>Contract Services</t>
  </si>
  <si>
    <t>Marketing &amp; Promotions</t>
  </si>
  <si>
    <t>General &amp; Administrative</t>
  </si>
  <si>
    <t>Commission</t>
  </si>
  <si>
    <t>Total Selling Closts</t>
  </si>
  <si>
    <t>Tropicana Apartments</t>
  </si>
  <si>
    <t>2011 N 51st Street, Phoenix AZ 85008</t>
  </si>
  <si>
    <t>Studio</t>
  </si>
  <si>
    <t>2B/1B</t>
  </si>
  <si>
    <t>1B/1B(with W/D)</t>
  </si>
  <si>
    <t>1979/2019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</si>
</sst>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\ &quot;Months&quot;"/>
    <numFmt numFmtId="167" formatCode="&quot;Year&quot;\ \1"/>
    <numFmt numFmtId="168" formatCode="&quot;Year&quot;\ 0"/>
    <numFmt numFmtId="169" formatCode="&quot;$&quot;#,###\ &quot;Per Unit&quot;"/>
    <numFmt numFmtId="170" formatCode="0\ &quot;Year Fixed&quot;"/>
  </numFmts>
  <fonts count="21">
    <font>
      <sz val="11"/>
      <color theme="1"/>
      <name val="Calibri"/>
      <family val="2"/>
      <scheme val="minor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6100"/>
      <name val="Futura Bk BT"/>
      <family val="2"/>
    </font>
    <font>
      <sz val="12"/>
      <color theme="0"/>
      <name val="Futura Bk BT"/>
      <family val="2"/>
    </font>
    <font>
      <b/>
      <sz val="12"/>
      <color theme="0"/>
      <name val="Futura Bk BT"/>
      <family val="2"/>
    </font>
    <font>
      <sz val="12"/>
      <name val="Futura Bk BT"/>
      <family val="2"/>
    </font>
    <font>
      <sz val="12"/>
      <color rgb="FF000000"/>
      <name val="Futura Bk BT"/>
      <family val="2"/>
    </font>
    <font>
      <sz val="12"/>
      <color rgb="FF0000FF"/>
      <name val="Futura Bk BT"/>
      <family val="2"/>
    </font>
    <font>
      <sz val="12"/>
      <color theme="1"/>
      <name val="Futura "/>
    </font>
    <font>
      <sz val="12"/>
      <color rgb="FF006A4D"/>
      <name val="Futura Bk BT"/>
      <family val="2"/>
    </font>
    <font>
      <sz val="12"/>
      <color rgb="FF006A4D"/>
      <name val="Futura "/>
    </font>
    <font>
      <b/>
      <sz val="12"/>
      <color theme="1"/>
      <name val="Futura Bk BT"/>
      <family val="2"/>
    </font>
    <font>
      <b/>
      <sz val="12"/>
      <color rgb="FF006100"/>
      <name val="Futura Bk BT"/>
      <family val="2"/>
    </font>
    <font>
      <b/>
      <sz val="12"/>
      <name val="Futura Bk B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4" fillId="4" borderId="0" applyNumberFormat="0" applyBorder="0" applyAlignment="0" applyProtection="0"/>
  </cellStyleXfs>
  <cellXfs count="127">
    <xf numFmtId="0" fontId="0" fillId="0" borderId="0" xfId="0"/>
    <xf numFmtId="0" fontId="4" fillId="4" borderId="13" xfId="38" applyBorder="1"/>
    <xf numFmtId="6" fontId="3" fillId="4" borderId="13" xfId="38" applyNumberFormat="1" applyFont="1" applyBorder="1" applyAlignment="1">
      <alignment horizontal="center"/>
    </xf>
    <xf numFmtId="0" fontId="3" fillId="4" borderId="13" xfId="38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 applyProtection="1">
      <alignment horizontal="left"/>
    </xf>
    <xf numFmtId="3" fontId="9" fillId="2" borderId="1" xfId="36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9" fillId="2" borderId="1" xfId="36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right"/>
    </xf>
    <xf numFmtId="166" fontId="9" fillId="2" borderId="1" xfId="36" applyNumberFormat="1" applyFont="1" applyBorder="1" applyAlignment="1">
      <alignment horizontal="right" vertical="center"/>
    </xf>
    <xf numFmtId="10" fontId="9" fillId="2" borderId="1" xfId="36" applyNumberFormat="1" applyFont="1" applyBorder="1" applyAlignment="1">
      <alignment horizontal="right" vertical="center"/>
    </xf>
    <xf numFmtId="6" fontId="3" fillId="0" borderId="1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6" fontId="9" fillId="2" borderId="1" xfId="36" applyNumberFormat="1" applyFont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/>
    <xf numFmtId="9" fontId="13" fillId="0" borderId="0" xfId="0" applyNumberFormat="1" applyFont="1" applyAlignment="1">
      <alignment horizontal="center" vertical="center" wrapText="1" readingOrder="1"/>
    </xf>
    <xf numFmtId="6" fontId="13" fillId="0" borderId="0" xfId="0" applyNumberFormat="1" applyFont="1" applyAlignment="1">
      <alignment horizontal="center" vertical="center" wrapText="1" readingOrder="1"/>
    </xf>
    <xf numFmtId="6" fontId="12" fillId="0" borderId="0" xfId="0" applyNumberFormat="1" applyFont="1" applyAlignment="1">
      <alignment horizontal="center" vertical="center" wrapText="1"/>
    </xf>
    <xf numFmtId="8" fontId="13" fillId="0" borderId="0" xfId="0" applyNumberFormat="1" applyFont="1" applyAlignment="1">
      <alignment horizontal="center" vertical="center" wrapText="1" readingOrder="1"/>
    </xf>
    <xf numFmtId="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13" xfId="38" applyFont="1" applyBorder="1" applyAlignment="1">
      <alignment horizontal="center"/>
    </xf>
    <xf numFmtId="0" fontId="3" fillId="4" borderId="13" xfId="38" applyFont="1" applyBorder="1" applyAlignment="1">
      <alignment horizontal="center" vertical="center" wrapText="1" readingOrder="1"/>
    </xf>
    <xf numFmtId="9" fontId="3" fillId="4" borderId="13" xfId="38" applyNumberFormat="1" applyFont="1" applyBorder="1" applyAlignment="1">
      <alignment horizontal="center"/>
    </xf>
    <xf numFmtId="3" fontId="3" fillId="4" borderId="13" xfId="38" applyNumberFormat="1" applyFont="1" applyBorder="1" applyAlignment="1">
      <alignment horizontal="center"/>
    </xf>
    <xf numFmtId="5" fontId="3" fillId="4" borderId="13" xfId="38" applyNumberFormat="1" applyFont="1" applyBorder="1" applyAlignment="1">
      <alignment horizontal="center"/>
    </xf>
    <xf numFmtId="8" fontId="3" fillId="4" borderId="13" xfId="38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11" fillId="3" borderId="6" xfId="37" applyFont="1" applyBorder="1" applyAlignment="1">
      <alignment vertical="center"/>
    </xf>
    <xf numFmtId="0" fontId="3" fillId="0" borderId="0" xfId="0" applyFont="1" applyAlignment="1">
      <alignment horizontal="right"/>
    </xf>
    <xf numFmtId="164" fontId="9" fillId="2" borderId="0" xfId="36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2"/>
    </xf>
    <xf numFmtId="6" fontId="9" fillId="2" borderId="0" xfId="36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9" fontId="3" fillId="0" borderId="9" xfId="0" applyNumberFormat="1" applyFont="1" applyBorder="1" applyAlignment="1">
      <alignment horizontal="center"/>
    </xf>
    <xf numFmtId="6" fontId="3" fillId="0" borderId="7" xfId="0" applyNumberFormat="1" applyFont="1" applyBorder="1" applyAlignment="1">
      <alignment horizontal="center"/>
    </xf>
    <xf numFmtId="6" fontId="9" fillId="2" borderId="6" xfId="36" applyNumberFormat="1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6" fontId="9" fillId="2" borderId="11" xfId="36" applyNumberFormat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6" fontId="3" fillId="0" borderId="0" xfId="0" applyNumberFormat="1" applyFont="1" applyFill="1" applyAlignment="1">
      <alignment horizontal="left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left"/>
    </xf>
    <xf numFmtId="165" fontId="15" fillId="0" borderId="0" xfId="35" applyNumberFormat="1" applyFont="1" applyAlignment="1">
      <alignment horizontal="left"/>
    </xf>
    <xf numFmtId="9" fontId="15" fillId="0" borderId="0" xfId="0" applyNumberFormat="1" applyFont="1"/>
    <xf numFmtId="0" fontId="15" fillId="0" borderId="0" xfId="0" applyFont="1" applyAlignment="1">
      <alignment horizontal="left"/>
    </xf>
    <xf numFmtId="165" fontId="15" fillId="0" borderId="0" xfId="35" applyNumberFormat="1" applyFont="1"/>
    <xf numFmtId="6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5" fontId="3" fillId="0" borderId="13" xfId="0" applyNumberFormat="1" applyFont="1" applyBorder="1" applyAlignment="1">
      <alignment horizontal="center" vertical="center"/>
    </xf>
    <xf numFmtId="6" fontId="3" fillId="0" borderId="13" xfId="0" applyNumberFormat="1" applyFont="1" applyBorder="1" applyAlignment="1">
      <alignment horizontal="center" vertical="center"/>
    </xf>
    <xf numFmtId="8" fontId="3" fillId="0" borderId="1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6" fontId="3" fillId="0" borderId="0" xfId="0" applyNumberFormat="1" applyFont="1"/>
    <xf numFmtId="6" fontId="3" fillId="0" borderId="1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70" fontId="9" fillId="2" borderId="1" xfId="36" applyNumberFormat="1" applyFont="1" applyBorder="1" applyAlignment="1">
      <alignment horizontal="right" vertical="center"/>
    </xf>
    <xf numFmtId="6" fontId="3" fillId="0" borderId="1" xfId="0" applyNumberFormat="1" applyFont="1" applyBorder="1" applyAlignment="1"/>
    <xf numFmtId="6" fontId="3" fillId="0" borderId="1" xfId="35" applyNumberFormat="1" applyFont="1" applyBorder="1" applyAlignment="1"/>
    <xf numFmtId="4" fontId="3" fillId="0" borderId="1" xfId="0" applyNumberFormat="1" applyFont="1" applyBorder="1" applyAlignment="1">
      <alignment horizontal="center"/>
    </xf>
    <xf numFmtId="2" fontId="12" fillId="0" borderId="1" xfId="0" applyNumberFormat="1" applyFont="1" applyFill="1" applyBorder="1" applyAlignment="1">
      <alignment vertical="center"/>
    </xf>
    <xf numFmtId="165" fontId="3" fillId="0" borderId="1" xfId="35" applyNumberFormat="1" applyFont="1" applyBorder="1" applyAlignment="1"/>
    <xf numFmtId="5" fontId="3" fillId="0" borderId="0" xfId="0" applyNumberFormat="1" applyFont="1"/>
    <xf numFmtId="39" fontId="3" fillId="4" borderId="13" xfId="38" applyNumberFormat="1" applyFont="1" applyBorder="1" applyAlignment="1">
      <alignment horizontal="center"/>
    </xf>
    <xf numFmtId="37" fontId="3" fillId="4" borderId="13" xfId="38" applyNumberFormat="1" applyFont="1" applyBorder="1" applyAlignment="1">
      <alignment horizontal="center"/>
    </xf>
    <xf numFmtId="37" fontId="3" fillId="0" borderId="0" xfId="0" applyNumberFormat="1" applyFont="1"/>
    <xf numFmtId="0" fontId="16" fillId="0" borderId="0" xfId="0" applyFont="1" applyAlignment="1">
      <alignment horizontal="center" vertical="center" wrapText="1" readingOrder="1"/>
    </xf>
    <xf numFmtId="3" fontId="16" fillId="0" borderId="0" xfId="0" applyNumberFormat="1" applyFont="1" applyAlignment="1">
      <alignment horizontal="center" vertical="center" wrapText="1" readingOrder="1"/>
    </xf>
    <xf numFmtId="5" fontId="16" fillId="0" borderId="0" xfId="35" applyNumberFormat="1" applyFont="1" applyFill="1" applyBorder="1" applyAlignment="1">
      <alignment horizontal="center" vertical="center" wrapText="1" readingOrder="1"/>
    </xf>
    <xf numFmtId="0" fontId="16" fillId="0" borderId="13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 readingOrder="1"/>
    </xf>
    <xf numFmtId="10" fontId="4" fillId="4" borderId="13" xfId="38" applyNumberFormat="1" applyBorder="1"/>
    <xf numFmtId="3" fontId="9" fillId="2" borderId="0" xfId="36" applyNumberFormat="1" applyAlignment="1">
      <alignment horizontal="center" vertical="center" wrapText="1"/>
    </xf>
    <xf numFmtId="6" fontId="9" fillId="2" borderId="0" xfId="36" applyNumberFormat="1" applyAlignment="1">
      <alignment horizontal="center" vertical="center" wrapText="1" readingOrder="1"/>
    </xf>
    <xf numFmtId="0" fontId="3" fillId="0" borderId="8" xfId="0" applyFont="1" applyBorder="1" applyAlignment="1">
      <alignment horizontal="left"/>
    </xf>
    <xf numFmtId="10" fontId="3" fillId="0" borderId="8" xfId="1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left"/>
    </xf>
    <xf numFmtId="1" fontId="9" fillId="2" borderId="1" xfId="36" quotePrefix="1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indent="2"/>
    </xf>
    <xf numFmtId="0" fontId="1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center"/>
    </xf>
    <xf numFmtId="6" fontId="19" fillId="2" borderId="7" xfId="36" applyNumberFormat="1" applyFont="1" applyBorder="1" applyAlignment="1">
      <alignment horizontal="center"/>
    </xf>
    <xf numFmtId="6" fontId="19" fillId="2" borderId="6" xfId="36" applyNumberFormat="1" applyFont="1" applyBorder="1" applyAlignment="1">
      <alignment horizontal="center"/>
    </xf>
    <xf numFmtId="6" fontId="19" fillId="2" borderId="0" xfId="36" applyNumberFormat="1" applyFont="1" applyAlignment="1">
      <alignment horizontal="center"/>
    </xf>
    <xf numFmtId="164" fontId="19" fillId="2" borderId="0" xfId="36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9" fillId="2" borderId="1" xfId="36" applyNumberFormat="1" applyFont="1" applyBorder="1" applyAlignment="1">
      <alignment horizontal="right"/>
    </xf>
    <xf numFmtId="3" fontId="19" fillId="2" borderId="1" xfId="36" applyNumberFormat="1" applyFont="1" applyBorder="1" applyAlignment="1">
      <alignment horizontal="center"/>
    </xf>
    <xf numFmtId="165" fontId="19" fillId="2" borderId="1" xfId="36" applyNumberFormat="1" applyFont="1" applyBorder="1" applyAlignment="1">
      <alignment horizontal="center"/>
    </xf>
    <xf numFmtId="164" fontId="19" fillId="2" borderId="1" xfId="1" applyNumberFormat="1" applyFont="1" applyFill="1" applyBorder="1" applyAlignment="1">
      <alignment horizontal="right"/>
    </xf>
    <xf numFmtId="10" fontId="19" fillId="2" borderId="1" xfId="1" applyNumberFormat="1" applyFont="1" applyFill="1" applyBorder="1" applyAlignment="1">
      <alignment horizontal="right"/>
    </xf>
    <xf numFmtId="6" fontId="19" fillId="2" borderId="1" xfId="36" applyNumberFormat="1" applyFont="1" applyBorder="1" applyAlignment="1"/>
    <xf numFmtId="10" fontId="19" fillId="2" borderId="1" xfId="36" applyNumberFormat="1" applyFont="1" applyBorder="1" applyAlignment="1">
      <alignment horizontal="center"/>
    </xf>
    <xf numFmtId="169" fontId="19" fillId="2" borderId="1" xfId="36" applyNumberFormat="1" applyFont="1" applyBorder="1" applyAlignment="1">
      <alignment horizontal="right"/>
    </xf>
    <xf numFmtId="10" fontId="3" fillId="0" borderId="1" xfId="1" applyNumberFormat="1" applyFont="1" applyBorder="1" applyAlignment="1">
      <alignment horizontal="center"/>
    </xf>
    <xf numFmtId="0" fontId="10" fillId="3" borderId="0" xfId="37" applyFont="1" applyAlignment="1">
      <alignment horizontal="center" vertical="center" wrapText="1" readingOrder="1"/>
    </xf>
    <xf numFmtId="0" fontId="10" fillId="3" borderId="0" xfId="37" applyFont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1" fillId="3" borderId="0" xfId="37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1" fillId="3" borderId="5" xfId="37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</cellXfs>
  <cellStyles count="39">
    <cellStyle name="20% - Accent5" xfId="38" builtinId="46"/>
    <cellStyle name="Accent5" xfId="37" builtinId="45"/>
    <cellStyle name="Currency" xfId="35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Good" xfId="36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2" xr:uid="{00000000-0005-0000-0000-000022000000}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511A-67FB-4972-B274-3CD21F0DA75A}">
  <dimension ref="A1:L45"/>
  <sheetViews>
    <sheetView zoomScale="115" zoomScaleNormal="115" workbookViewId="0">
      <selection activeCell="B5" sqref="B5"/>
    </sheetView>
  </sheetViews>
  <sheetFormatPr defaultRowHeight="15"/>
  <cols>
    <col min="1" max="1" width="10.28515625" style="55" bestFit="1" customWidth="1"/>
    <col min="2" max="2" width="18.7109375" style="55" bestFit="1" customWidth="1"/>
    <col min="3" max="3" width="10.5703125" style="55" bestFit="1" customWidth="1"/>
    <col min="4" max="4" width="17" style="55" bestFit="1" customWidth="1"/>
    <col min="5" max="5" width="14.7109375" style="55" bestFit="1" customWidth="1"/>
    <col min="6" max="6" width="11.42578125" style="55" bestFit="1" customWidth="1"/>
    <col min="7" max="7" width="17" style="55" bestFit="1" customWidth="1"/>
    <col min="8" max="10" width="15.140625" style="55" bestFit="1" customWidth="1"/>
    <col min="11" max="11" width="8.28515625" style="55" customWidth="1"/>
    <col min="12" max="12" width="9.140625" style="55"/>
    <col min="13" max="13" width="9.85546875" style="55" bestFit="1" customWidth="1"/>
    <col min="14" max="14" width="10.7109375" style="55" bestFit="1" customWidth="1"/>
    <col min="15" max="15" width="9.140625" style="55"/>
    <col min="16" max="16" width="12.42578125" style="55" bestFit="1" customWidth="1"/>
    <col min="17" max="17" width="22" style="55" bestFit="1" customWidth="1"/>
    <col min="18" max="18" width="18" style="55" customWidth="1"/>
    <col min="19" max="19" width="14.7109375" style="55" bestFit="1" customWidth="1"/>
    <col min="20" max="20" width="12.140625" style="55" bestFit="1" customWidth="1"/>
    <col min="21" max="21" width="17" style="55" bestFit="1" customWidth="1"/>
    <col min="22" max="22" width="22.7109375" style="55" bestFit="1" customWidth="1"/>
    <col min="23" max="24" width="15.140625" style="55" bestFit="1" customWidth="1"/>
    <col min="25" max="25" width="9.140625" style="55"/>
    <col min="26" max="26" width="8.28515625" style="55" bestFit="1" customWidth="1"/>
    <col min="27" max="16384" width="9.140625" style="55"/>
  </cols>
  <sheetData>
    <row r="1" spans="1:12" ht="15.75">
      <c r="A1" s="22"/>
      <c r="B1" s="22"/>
      <c r="C1" s="22"/>
      <c r="D1" s="22"/>
      <c r="E1" s="22"/>
      <c r="F1" s="22"/>
      <c r="G1" s="117" t="s">
        <v>37</v>
      </c>
      <c r="H1" s="117"/>
      <c r="I1" s="117"/>
      <c r="J1" s="117"/>
      <c r="K1" s="117"/>
    </row>
    <row r="2" spans="1:12" ht="15" customHeight="1">
      <c r="A2" s="116" t="s">
        <v>5</v>
      </c>
      <c r="B2" s="116" t="s">
        <v>24</v>
      </c>
      <c r="C2" s="116" t="s">
        <v>29</v>
      </c>
      <c r="D2" s="116" t="s">
        <v>33</v>
      </c>
      <c r="E2" s="116" t="s">
        <v>32</v>
      </c>
      <c r="F2" s="116" t="s">
        <v>30</v>
      </c>
      <c r="G2" s="116" t="s">
        <v>31</v>
      </c>
      <c r="H2" s="116" t="s">
        <v>34</v>
      </c>
      <c r="I2" s="116" t="s">
        <v>35</v>
      </c>
      <c r="J2" s="116" t="s">
        <v>66</v>
      </c>
      <c r="K2" s="116" t="s">
        <v>42</v>
      </c>
      <c r="L2" s="56"/>
    </row>
    <row r="3" spans="1:12" ht="15" customHeight="1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56"/>
    </row>
    <row r="4" spans="1:12" ht="15" customHeight="1">
      <c r="A4" s="96">
        <v>1</v>
      </c>
      <c r="B4" s="84" t="s">
        <v>93</v>
      </c>
      <c r="C4" s="85">
        <v>350</v>
      </c>
      <c r="D4" s="86">
        <v>888</v>
      </c>
      <c r="E4" s="24">
        <f t="shared" ref="E4:E14" si="0">D4*12</f>
        <v>10656</v>
      </c>
      <c r="F4" s="26">
        <f t="shared" ref="F4:F14" si="1">D4/C4</f>
        <v>2.5371428571428569</v>
      </c>
      <c r="G4" s="86">
        <v>888</v>
      </c>
      <c r="H4" s="24">
        <f t="shared" ref="H4:H14" si="2">G4*12</f>
        <v>10656</v>
      </c>
      <c r="I4" s="26">
        <f t="shared" ref="I4:I14" si="3">G4/C4</f>
        <v>2.5371428571428569</v>
      </c>
      <c r="J4" s="63">
        <f t="shared" ref="J4:J14" si="4">G4-D4</f>
        <v>0</v>
      </c>
      <c r="K4" s="64">
        <f t="shared" ref="K4:K14" si="5">G4/D4-1</f>
        <v>0</v>
      </c>
      <c r="L4" s="56"/>
    </row>
    <row r="5" spans="1:12" ht="15" customHeight="1">
      <c r="A5" s="96">
        <v>2</v>
      </c>
      <c r="B5" s="84" t="s">
        <v>81</v>
      </c>
      <c r="C5" s="85">
        <v>700</v>
      </c>
      <c r="D5" s="86">
        <v>1000</v>
      </c>
      <c r="E5" s="24">
        <f t="shared" si="0"/>
        <v>12000</v>
      </c>
      <c r="F5" s="26">
        <f t="shared" si="1"/>
        <v>1.4285714285714286</v>
      </c>
      <c r="G5" s="86">
        <v>1000</v>
      </c>
      <c r="H5" s="24">
        <f t="shared" si="2"/>
        <v>12000</v>
      </c>
      <c r="I5" s="26">
        <f t="shared" si="3"/>
        <v>1.4285714285714286</v>
      </c>
      <c r="J5" s="63">
        <f t="shared" si="4"/>
        <v>0</v>
      </c>
      <c r="K5" s="64">
        <f t="shared" si="5"/>
        <v>0</v>
      </c>
      <c r="L5" s="56"/>
    </row>
    <row r="6" spans="1:12" ht="15" customHeight="1">
      <c r="A6" s="96">
        <v>3</v>
      </c>
      <c r="B6" s="84" t="s">
        <v>81</v>
      </c>
      <c r="C6" s="85">
        <v>700</v>
      </c>
      <c r="D6" s="86">
        <v>1000</v>
      </c>
      <c r="E6" s="24">
        <f t="shared" si="0"/>
        <v>12000</v>
      </c>
      <c r="F6" s="26">
        <f t="shared" si="1"/>
        <v>1.4285714285714286</v>
      </c>
      <c r="G6" s="86">
        <v>1000</v>
      </c>
      <c r="H6" s="24">
        <f t="shared" si="2"/>
        <v>12000</v>
      </c>
      <c r="I6" s="26">
        <f t="shared" si="3"/>
        <v>1.4285714285714286</v>
      </c>
      <c r="J6" s="63">
        <f t="shared" si="4"/>
        <v>0</v>
      </c>
      <c r="K6" s="64">
        <f t="shared" si="5"/>
        <v>0</v>
      </c>
      <c r="L6" s="56"/>
    </row>
    <row r="7" spans="1:12" ht="15" customHeight="1">
      <c r="A7" s="96">
        <v>4</v>
      </c>
      <c r="B7" s="84" t="s">
        <v>81</v>
      </c>
      <c r="C7" s="85">
        <v>700</v>
      </c>
      <c r="D7" s="86">
        <v>1000</v>
      </c>
      <c r="E7" s="24">
        <f t="shared" si="0"/>
        <v>12000</v>
      </c>
      <c r="F7" s="26">
        <f t="shared" si="1"/>
        <v>1.4285714285714286</v>
      </c>
      <c r="G7" s="86">
        <v>1000</v>
      </c>
      <c r="H7" s="24">
        <f t="shared" si="2"/>
        <v>12000</v>
      </c>
      <c r="I7" s="26">
        <f t="shared" si="3"/>
        <v>1.4285714285714286</v>
      </c>
      <c r="J7" s="63">
        <f t="shared" si="4"/>
        <v>0</v>
      </c>
      <c r="K7" s="64">
        <f t="shared" si="5"/>
        <v>0</v>
      </c>
      <c r="L7" s="56"/>
    </row>
    <row r="8" spans="1:12" ht="15" customHeight="1">
      <c r="A8" s="96">
        <v>5</v>
      </c>
      <c r="B8" s="84" t="s">
        <v>81</v>
      </c>
      <c r="C8" s="85">
        <v>700</v>
      </c>
      <c r="D8" s="86">
        <v>1000</v>
      </c>
      <c r="E8" s="24">
        <f t="shared" si="0"/>
        <v>12000</v>
      </c>
      <c r="F8" s="26">
        <f t="shared" si="1"/>
        <v>1.4285714285714286</v>
      </c>
      <c r="G8" s="86">
        <v>1000</v>
      </c>
      <c r="H8" s="24">
        <f t="shared" si="2"/>
        <v>12000</v>
      </c>
      <c r="I8" s="26">
        <f t="shared" si="3"/>
        <v>1.4285714285714286</v>
      </c>
      <c r="J8" s="63">
        <f t="shared" si="4"/>
        <v>0</v>
      </c>
      <c r="K8" s="64">
        <f t="shared" si="5"/>
        <v>0</v>
      </c>
      <c r="L8" s="56"/>
    </row>
    <row r="9" spans="1:12" ht="15" customHeight="1">
      <c r="A9" s="96">
        <v>6</v>
      </c>
      <c r="B9" s="84" t="s">
        <v>81</v>
      </c>
      <c r="C9" s="85">
        <v>700</v>
      </c>
      <c r="D9" s="86">
        <v>1000</v>
      </c>
      <c r="E9" s="24">
        <f t="shared" si="0"/>
        <v>12000</v>
      </c>
      <c r="F9" s="26">
        <f t="shared" si="1"/>
        <v>1.4285714285714286</v>
      </c>
      <c r="G9" s="86">
        <v>1000</v>
      </c>
      <c r="H9" s="24">
        <f t="shared" si="2"/>
        <v>12000</v>
      </c>
      <c r="I9" s="26">
        <f t="shared" si="3"/>
        <v>1.4285714285714286</v>
      </c>
      <c r="J9" s="63">
        <f t="shared" si="4"/>
        <v>0</v>
      </c>
      <c r="K9" s="64">
        <f t="shared" si="5"/>
        <v>0</v>
      </c>
      <c r="L9" s="56"/>
    </row>
    <row r="10" spans="1:12" ht="15" customHeight="1">
      <c r="A10" s="96">
        <v>7</v>
      </c>
      <c r="B10" s="84" t="s">
        <v>81</v>
      </c>
      <c r="C10" s="85">
        <v>700</v>
      </c>
      <c r="D10" s="86">
        <v>1000</v>
      </c>
      <c r="E10" s="24">
        <f t="shared" si="0"/>
        <v>12000</v>
      </c>
      <c r="F10" s="26">
        <f t="shared" si="1"/>
        <v>1.4285714285714286</v>
      </c>
      <c r="G10" s="86">
        <v>1000</v>
      </c>
      <c r="H10" s="24">
        <f t="shared" si="2"/>
        <v>12000</v>
      </c>
      <c r="I10" s="26">
        <f t="shared" si="3"/>
        <v>1.4285714285714286</v>
      </c>
      <c r="J10" s="63">
        <f t="shared" si="4"/>
        <v>0</v>
      </c>
      <c r="K10" s="64">
        <f t="shared" si="5"/>
        <v>0</v>
      </c>
      <c r="L10" s="56"/>
    </row>
    <row r="11" spans="1:12" ht="15" customHeight="1">
      <c r="A11" s="96">
        <v>8</v>
      </c>
      <c r="B11" s="84" t="s">
        <v>81</v>
      </c>
      <c r="C11" s="85">
        <v>700</v>
      </c>
      <c r="D11" s="86">
        <v>1000</v>
      </c>
      <c r="E11" s="24">
        <f t="shared" si="0"/>
        <v>12000</v>
      </c>
      <c r="F11" s="26">
        <f t="shared" si="1"/>
        <v>1.4285714285714286</v>
      </c>
      <c r="G11" s="86">
        <v>1000</v>
      </c>
      <c r="H11" s="24">
        <f t="shared" si="2"/>
        <v>12000</v>
      </c>
      <c r="I11" s="26">
        <f t="shared" si="3"/>
        <v>1.4285714285714286</v>
      </c>
      <c r="J11" s="63">
        <f t="shared" si="4"/>
        <v>0</v>
      </c>
      <c r="K11" s="64">
        <f t="shared" si="5"/>
        <v>0</v>
      </c>
      <c r="L11" s="56"/>
    </row>
    <row r="12" spans="1:12" ht="15" customHeight="1">
      <c r="A12" s="96">
        <v>9</v>
      </c>
      <c r="B12" s="84" t="s">
        <v>81</v>
      </c>
      <c r="C12" s="85">
        <v>700</v>
      </c>
      <c r="D12" s="86">
        <v>1000</v>
      </c>
      <c r="E12" s="24">
        <f t="shared" si="0"/>
        <v>12000</v>
      </c>
      <c r="F12" s="26">
        <f t="shared" si="1"/>
        <v>1.4285714285714286</v>
      </c>
      <c r="G12" s="86">
        <v>1000</v>
      </c>
      <c r="H12" s="24">
        <f t="shared" si="2"/>
        <v>12000</v>
      </c>
      <c r="I12" s="26">
        <f t="shared" si="3"/>
        <v>1.4285714285714286</v>
      </c>
      <c r="J12" s="63">
        <f t="shared" si="4"/>
        <v>0</v>
      </c>
      <c r="K12" s="64">
        <f t="shared" si="5"/>
        <v>0</v>
      </c>
      <c r="L12" s="56"/>
    </row>
    <row r="13" spans="1:12" ht="15" customHeight="1">
      <c r="A13" s="96">
        <v>10</v>
      </c>
      <c r="B13" s="84" t="s">
        <v>81</v>
      </c>
      <c r="C13" s="85">
        <v>700</v>
      </c>
      <c r="D13" s="86">
        <v>1000</v>
      </c>
      <c r="E13" s="24">
        <f t="shared" si="0"/>
        <v>12000</v>
      </c>
      <c r="F13" s="26">
        <f t="shared" si="1"/>
        <v>1.4285714285714286</v>
      </c>
      <c r="G13" s="86">
        <v>1000</v>
      </c>
      <c r="H13" s="24">
        <f t="shared" si="2"/>
        <v>12000</v>
      </c>
      <c r="I13" s="26">
        <f t="shared" si="3"/>
        <v>1.4285714285714286</v>
      </c>
      <c r="J13" s="63">
        <f t="shared" si="4"/>
        <v>0</v>
      </c>
      <c r="K13" s="64">
        <f t="shared" si="5"/>
        <v>0</v>
      </c>
      <c r="L13" s="56"/>
    </row>
    <row r="14" spans="1:12" ht="15" customHeight="1">
      <c r="A14" s="96">
        <v>11</v>
      </c>
      <c r="B14" s="84" t="s">
        <v>81</v>
      </c>
      <c r="C14" s="85">
        <v>700</v>
      </c>
      <c r="D14" s="86">
        <v>1000</v>
      </c>
      <c r="E14" s="24">
        <f t="shared" si="0"/>
        <v>12000</v>
      </c>
      <c r="F14" s="26">
        <f t="shared" si="1"/>
        <v>1.4285714285714286</v>
      </c>
      <c r="G14" s="86">
        <v>1000</v>
      </c>
      <c r="H14" s="24">
        <f t="shared" si="2"/>
        <v>12000</v>
      </c>
      <c r="I14" s="26">
        <f t="shared" si="3"/>
        <v>1.4285714285714286</v>
      </c>
      <c r="J14" s="63">
        <f t="shared" si="4"/>
        <v>0</v>
      </c>
      <c r="K14" s="64">
        <f t="shared" si="5"/>
        <v>0</v>
      </c>
      <c r="L14" s="56"/>
    </row>
    <row r="15" spans="1:12" ht="15.75">
      <c r="A15" s="96">
        <v>12</v>
      </c>
      <c r="B15" s="84" t="s">
        <v>81</v>
      </c>
      <c r="C15" s="85">
        <v>700</v>
      </c>
      <c r="D15" s="86">
        <v>1000</v>
      </c>
      <c r="E15" s="24">
        <f t="shared" ref="E15:E23" si="6">D15*12</f>
        <v>12000</v>
      </c>
      <c r="F15" s="26">
        <f t="shared" ref="F15:F23" si="7">D15/C15</f>
        <v>1.4285714285714286</v>
      </c>
      <c r="G15" s="86">
        <v>1000</v>
      </c>
      <c r="H15" s="24">
        <f t="shared" ref="H15:H23" si="8">G15*12</f>
        <v>12000</v>
      </c>
      <c r="I15" s="26">
        <f t="shared" ref="I15:I23" si="9">G15/C15</f>
        <v>1.4285714285714286</v>
      </c>
      <c r="J15" s="63">
        <f t="shared" ref="J15:J23" si="10">G15-D15</f>
        <v>0</v>
      </c>
      <c r="K15" s="64">
        <f t="shared" ref="K15:K23" si="11">G15/D15-1</f>
        <v>0</v>
      </c>
    </row>
    <row r="16" spans="1:12" ht="15.75">
      <c r="A16" s="96">
        <v>13</v>
      </c>
      <c r="B16" s="84" t="s">
        <v>95</v>
      </c>
      <c r="C16" s="85">
        <v>700</v>
      </c>
      <c r="D16" s="86">
        <v>1100</v>
      </c>
      <c r="E16" s="24">
        <f t="shared" si="6"/>
        <v>13200</v>
      </c>
      <c r="F16" s="26">
        <f t="shared" si="7"/>
        <v>1.5714285714285714</v>
      </c>
      <c r="G16" s="86">
        <v>1100</v>
      </c>
      <c r="H16" s="24">
        <f t="shared" si="8"/>
        <v>13200</v>
      </c>
      <c r="I16" s="26">
        <f t="shared" si="9"/>
        <v>1.5714285714285714</v>
      </c>
      <c r="J16" s="63">
        <f t="shared" si="10"/>
        <v>0</v>
      </c>
      <c r="K16" s="64">
        <f t="shared" si="11"/>
        <v>0</v>
      </c>
    </row>
    <row r="17" spans="1:11" ht="15.75">
      <c r="A17" s="96">
        <v>14</v>
      </c>
      <c r="B17" s="84" t="s">
        <v>95</v>
      </c>
      <c r="C17" s="85">
        <v>700</v>
      </c>
      <c r="D17" s="86">
        <v>1100</v>
      </c>
      <c r="E17" s="24">
        <f t="shared" si="6"/>
        <v>13200</v>
      </c>
      <c r="F17" s="26">
        <f t="shared" si="7"/>
        <v>1.5714285714285714</v>
      </c>
      <c r="G17" s="86">
        <v>1100</v>
      </c>
      <c r="H17" s="24">
        <f t="shared" si="8"/>
        <v>13200</v>
      </c>
      <c r="I17" s="26">
        <f t="shared" si="9"/>
        <v>1.5714285714285714</v>
      </c>
      <c r="J17" s="63">
        <f t="shared" si="10"/>
        <v>0</v>
      </c>
      <c r="K17" s="64">
        <f t="shared" si="11"/>
        <v>0</v>
      </c>
    </row>
    <row r="18" spans="1:11" ht="15.75">
      <c r="A18" s="96">
        <v>15</v>
      </c>
      <c r="B18" s="84" t="s">
        <v>95</v>
      </c>
      <c r="C18" s="85">
        <v>700</v>
      </c>
      <c r="D18" s="86">
        <v>1100</v>
      </c>
      <c r="E18" s="24">
        <f t="shared" si="6"/>
        <v>13200</v>
      </c>
      <c r="F18" s="26">
        <f t="shared" si="7"/>
        <v>1.5714285714285714</v>
      </c>
      <c r="G18" s="86">
        <v>1100</v>
      </c>
      <c r="H18" s="24">
        <f t="shared" si="8"/>
        <v>13200</v>
      </c>
      <c r="I18" s="26">
        <f t="shared" si="9"/>
        <v>1.5714285714285714</v>
      </c>
      <c r="J18" s="63">
        <f t="shared" si="10"/>
        <v>0</v>
      </c>
      <c r="K18" s="64">
        <f t="shared" si="11"/>
        <v>0</v>
      </c>
    </row>
    <row r="19" spans="1:11" ht="15.75">
      <c r="A19" s="96">
        <v>16</v>
      </c>
      <c r="B19" s="84" t="s">
        <v>95</v>
      </c>
      <c r="C19" s="85">
        <v>700</v>
      </c>
      <c r="D19" s="86">
        <v>1100</v>
      </c>
      <c r="E19" s="24">
        <f t="shared" si="6"/>
        <v>13200</v>
      </c>
      <c r="F19" s="26">
        <f t="shared" si="7"/>
        <v>1.5714285714285714</v>
      </c>
      <c r="G19" s="86">
        <v>1100</v>
      </c>
      <c r="H19" s="24">
        <f t="shared" si="8"/>
        <v>13200</v>
      </c>
      <c r="I19" s="26">
        <f t="shared" si="9"/>
        <v>1.5714285714285714</v>
      </c>
      <c r="J19" s="63">
        <f t="shared" si="10"/>
        <v>0</v>
      </c>
      <c r="K19" s="64">
        <f t="shared" si="11"/>
        <v>0</v>
      </c>
    </row>
    <row r="20" spans="1:11" ht="15.75">
      <c r="A20" s="96">
        <v>17</v>
      </c>
      <c r="B20" s="84" t="s">
        <v>95</v>
      </c>
      <c r="C20" s="85">
        <v>700</v>
      </c>
      <c r="D20" s="86">
        <v>1100</v>
      </c>
      <c r="E20" s="24">
        <f t="shared" si="6"/>
        <v>13200</v>
      </c>
      <c r="F20" s="26">
        <f t="shared" si="7"/>
        <v>1.5714285714285714</v>
      </c>
      <c r="G20" s="86">
        <v>1100</v>
      </c>
      <c r="H20" s="24">
        <f t="shared" si="8"/>
        <v>13200</v>
      </c>
      <c r="I20" s="26">
        <f t="shared" si="9"/>
        <v>1.5714285714285714</v>
      </c>
      <c r="J20" s="63">
        <f t="shared" si="10"/>
        <v>0</v>
      </c>
      <c r="K20" s="64">
        <f t="shared" si="11"/>
        <v>0</v>
      </c>
    </row>
    <row r="21" spans="1:11" ht="15.75">
      <c r="A21" s="96">
        <v>18</v>
      </c>
      <c r="B21" s="84" t="s">
        <v>94</v>
      </c>
      <c r="C21" s="85">
        <v>855</v>
      </c>
      <c r="D21" s="86">
        <v>1200</v>
      </c>
      <c r="E21" s="24">
        <f t="shared" si="6"/>
        <v>14400</v>
      </c>
      <c r="F21" s="26">
        <f t="shared" si="7"/>
        <v>1.4035087719298245</v>
      </c>
      <c r="G21" s="86">
        <v>1200</v>
      </c>
      <c r="H21" s="24">
        <f t="shared" si="8"/>
        <v>14400</v>
      </c>
      <c r="I21" s="26">
        <f t="shared" si="9"/>
        <v>1.4035087719298245</v>
      </c>
      <c r="J21" s="63">
        <f t="shared" si="10"/>
        <v>0</v>
      </c>
      <c r="K21" s="64">
        <f t="shared" si="11"/>
        <v>0</v>
      </c>
    </row>
    <row r="22" spans="1:11" ht="15.75">
      <c r="A22" s="96">
        <v>19</v>
      </c>
      <c r="B22" s="84" t="s">
        <v>94</v>
      </c>
      <c r="C22" s="85">
        <v>855</v>
      </c>
      <c r="D22" s="86">
        <v>1200</v>
      </c>
      <c r="E22" s="24">
        <f t="shared" si="6"/>
        <v>14400</v>
      </c>
      <c r="F22" s="26">
        <f t="shared" si="7"/>
        <v>1.4035087719298245</v>
      </c>
      <c r="G22" s="86">
        <v>1200</v>
      </c>
      <c r="H22" s="24">
        <f t="shared" si="8"/>
        <v>14400</v>
      </c>
      <c r="I22" s="26">
        <f t="shared" si="9"/>
        <v>1.4035087719298245</v>
      </c>
      <c r="J22" s="63">
        <f t="shared" si="10"/>
        <v>0</v>
      </c>
      <c r="K22" s="64">
        <f t="shared" si="11"/>
        <v>0</v>
      </c>
    </row>
    <row r="23" spans="1:11" ht="15.75">
      <c r="A23" s="96">
        <v>20</v>
      </c>
      <c r="B23" s="84" t="s">
        <v>82</v>
      </c>
      <c r="C23" s="85">
        <v>1650</v>
      </c>
      <c r="D23" s="86">
        <v>2000</v>
      </c>
      <c r="E23" s="24">
        <f t="shared" si="6"/>
        <v>24000</v>
      </c>
      <c r="F23" s="26">
        <f t="shared" si="7"/>
        <v>1.2121212121212122</v>
      </c>
      <c r="G23" s="86">
        <v>2000</v>
      </c>
      <c r="H23" s="24">
        <f t="shared" si="8"/>
        <v>24000</v>
      </c>
      <c r="I23" s="26">
        <f t="shared" si="9"/>
        <v>1.2121212121212122</v>
      </c>
      <c r="J23" s="63">
        <f t="shared" si="10"/>
        <v>0</v>
      </c>
      <c r="K23" s="64">
        <f t="shared" si="11"/>
        <v>0</v>
      </c>
    </row>
    <row r="24" spans="1:11" ht="15.75">
      <c r="A24" s="65"/>
      <c r="B24" s="87"/>
      <c r="C24" s="66"/>
      <c r="D24" s="67">
        <f>SUM(D4:D23)</f>
        <v>21788</v>
      </c>
      <c r="E24" s="67">
        <f>SUM(E4:E23)</f>
        <v>261456</v>
      </c>
      <c r="F24" s="69">
        <f>AVERAGE(F4:F23)</f>
        <v>1.5063855092276148</v>
      </c>
      <c r="G24" s="68">
        <f>SUM(G4:G23)</f>
        <v>21788</v>
      </c>
      <c r="H24" s="68">
        <f>SUM(H4:H23)</f>
        <v>261456</v>
      </c>
      <c r="I24" s="69">
        <f>AVERAGE(I4:I23)</f>
        <v>1.5063855092276148</v>
      </c>
      <c r="J24" s="68">
        <f>SUM(J4:J23)</f>
        <v>0</v>
      </c>
      <c r="K24" s="70">
        <f>AVERAGE(K4:K23)</f>
        <v>0</v>
      </c>
    </row>
    <row r="25" spans="1:11">
      <c r="A25" s="57"/>
      <c r="B25" s="88"/>
      <c r="C25" s="57"/>
      <c r="D25" s="57"/>
      <c r="E25" s="57"/>
      <c r="F25" s="57"/>
      <c r="G25" s="57"/>
      <c r="H25" s="57"/>
      <c r="I25" s="57"/>
      <c r="J25" s="57"/>
      <c r="K25" s="57"/>
    </row>
    <row r="26" spans="1:11">
      <c r="A26" s="58"/>
      <c r="B26" s="58"/>
      <c r="C26" s="58"/>
      <c r="D26" s="58"/>
    </row>
    <row r="27" spans="1:11">
      <c r="A27" s="58"/>
      <c r="B27" s="58"/>
      <c r="C27" s="58"/>
      <c r="D27" s="59"/>
      <c r="E27" s="59"/>
    </row>
    <row r="28" spans="1:11">
      <c r="A28" s="58"/>
      <c r="B28" s="58"/>
      <c r="C28" s="58"/>
      <c r="D28" s="59"/>
      <c r="E28" s="59"/>
    </row>
    <row r="29" spans="1:11">
      <c r="A29" s="58"/>
      <c r="B29" s="58"/>
      <c r="C29" s="58"/>
      <c r="D29" s="59"/>
      <c r="E29" s="59"/>
    </row>
    <row r="30" spans="1:11">
      <c r="A30" s="58"/>
      <c r="B30" s="58"/>
      <c r="C30" s="58"/>
      <c r="D30" s="59"/>
      <c r="E30" s="59"/>
    </row>
    <row r="31" spans="1:11">
      <c r="A31" s="58"/>
      <c r="B31" s="58"/>
      <c r="C31" s="58"/>
      <c r="D31" s="59"/>
      <c r="E31" s="59"/>
    </row>
    <row r="32" spans="1:11">
      <c r="A32" s="58"/>
      <c r="B32" s="58"/>
      <c r="C32" s="58"/>
      <c r="D32" s="59"/>
      <c r="E32" s="59"/>
    </row>
    <row r="33" spans="1:4">
      <c r="A33" s="58"/>
      <c r="B33" s="58"/>
      <c r="C33" s="58"/>
      <c r="D33" s="58"/>
    </row>
    <row r="36" spans="1:4">
      <c r="B36" s="60"/>
    </row>
    <row r="38" spans="1:4">
      <c r="B38" s="61"/>
    </row>
    <row r="45" spans="1:4">
      <c r="B45" s="62"/>
    </row>
  </sheetData>
  <mergeCells count="12">
    <mergeCell ref="F2:F3"/>
    <mergeCell ref="A2:A3"/>
    <mergeCell ref="B2:B3"/>
    <mergeCell ref="C2:C3"/>
    <mergeCell ref="D2:D3"/>
    <mergeCell ref="E2:E3"/>
    <mergeCell ref="J2:J3"/>
    <mergeCell ref="K2:K3"/>
    <mergeCell ref="G1:K1"/>
    <mergeCell ref="G2:G3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9"/>
  <sheetViews>
    <sheetView tabSelected="1" zoomScale="115" zoomScaleNormal="115" workbookViewId="0">
      <selection activeCell="F16" sqref="F16"/>
    </sheetView>
  </sheetViews>
  <sheetFormatPr defaultColWidth="11.42578125" defaultRowHeight="15.75"/>
  <cols>
    <col min="1" max="1" width="34.7109375" style="4" bestFit="1" customWidth="1"/>
    <col min="2" max="2" width="24.7109375" style="4" bestFit="1" customWidth="1"/>
    <col min="3" max="3" width="24.85546875" style="4" customWidth="1"/>
    <col min="4" max="4" width="19.5703125" style="4" bestFit="1" customWidth="1"/>
    <col min="5" max="5" width="19.5703125" style="4" customWidth="1"/>
    <col min="6" max="6" width="18.140625" style="4" bestFit="1" customWidth="1"/>
    <col min="7" max="7" width="18.140625" style="4" customWidth="1"/>
    <col min="8" max="8" width="25" style="21" bestFit="1" customWidth="1"/>
    <col min="9" max="9" width="25" style="21" customWidth="1"/>
    <col min="10" max="10" width="16.7109375" style="4" customWidth="1"/>
    <col min="11" max="11" width="14.28515625" style="4" customWidth="1"/>
    <col min="12" max="12" width="20.5703125" style="4" bestFit="1" customWidth="1"/>
    <col min="13" max="13" width="18.28515625" style="4" customWidth="1"/>
    <col min="14" max="14" width="24.140625" style="4" bestFit="1" customWidth="1"/>
    <col min="15" max="15" width="20.7109375" style="4" bestFit="1" customWidth="1"/>
    <col min="16" max="16" width="16.42578125" style="4" bestFit="1" customWidth="1"/>
    <col min="17" max="17" width="21" style="4" bestFit="1" customWidth="1"/>
    <col min="18" max="18" width="13.7109375" style="4" bestFit="1" customWidth="1"/>
    <col min="19" max="16384" width="11.42578125" style="4"/>
  </cols>
  <sheetData>
    <row r="1" spans="1:16">
      <c r="A1" s="121" t="s">
        <v>12</v>
      </c>
      <c r="B1" s="121"/>
      <c r="D1" s="123" t="s">
        <v>47</v>
      </c>
      <c r="E1" s="123"/>
      <c r="F1" s="123"/>
      <c r="H1" s="123" t="s">
        <v>53</v>
      </c>
      <c r="I1" s="123"/>
      <c r="J1" s="123"/>
      <c r="L1" s="121" t="s">
        <v>48</v>
      </c>
      <c r="M1" s="121"/>
      <c r="P1" s="5"/>
    </row>
    <row r="2" spans="1:16">
      <c r="A2" s="6" t="s">
        <v>44</v>
      </c>
      <c r="B2" s="7" t="s">
        <v>91</v>
      </c>
      <c r="D2" s="8" t="s">
        <v>6</v>
      </c>
      <c r="E2" s="9">
        <f>F2/B9</f>
        <v>0.61971830985915488</v>
      </c>
      <c r="F2" s="107">
        <v>2200000</v>
      </c>
      <c r="H2" s="118" t="s">
        <v>13</v>
      </c>
      <c r="I2" s="119"/>
      <c r="J2" s="109">
        <f>F3</f>
        <v>1350000</v>
      </c>
      <c r="L2" s="10" t="s">
        <v>49</v>
      </c>
      <c r="M2" s="113">
        <v>5.5E-2</v>
      </c>
    </row>
    <row r="3" spans="1:16">
      <c r="A3" s="6" t="s">
        <v>4</v>
      </c>
      <c r="B3" s="11" t="s">
        <v>92</v>
      </c>
      <c r="D3" s="8" t="s">
        <v>13</v>
      </c>
      <c r="E3" s="9">
        <f>F3/B9</f>
        <v>0.38028169014084506</v>
      </c>
      <c r="F3" s="12">
        <f>B9-F2</f>
        <v>1350000</v>
      </c>
      <c r="H3" s="8" t="s">
        <v>54</v>
      </c>
      <c r="I3" s="110">
        <v>2E-3</v>
      </c>
      <c r="J3" s="75">
        <f>I3*B9</f>
        <v>7100</v>
      </c>
      <c r="L3" s="10" t="s">
        <v>50</v>
      </c>
      <c r="M3" s="77">
        <f>L68/N36</f>
        <v>13.093757715687165</v>
      </c>
    </row>
    <row r="4" spans="1:16">
      <c r="A4" s="6" t="s">
        <v>2</v>
      </c>
      <c r="B4" s="7">
        <v>20</v>
      </c>
      <c r="D4" s="118" t="s">
        <v>7</v>
      </c>
      <c r="E4" s="124"/>
      <c r="F4" s="74">
        <v>5</v>
      </c>
      <c r="H4" s="10" t="s">
        <v>55</v>
      </c>
      <c r="I4" s="111">
        <v>1.2500000000000001E-2</v>
      </c>
      <c r="J4" s="75">
        <f>I4*F2</f>
        <v>27500</v>
      </c>
      <c r="L4" s="10" t="s">
        <v>51</v>
      </c>
      <c r="M4" s="19">
        <f>L68/B6</f>
        <v>162.98236234655178</v>
      </c>
    </row>
    <row r="5" spans="1:16">
      <c r="A5" s="94" t="s">
        <v>80</v>
      </c>
      <c r="B5" s="95" t="s">
        <v>96</v>
      </c>
      <c r="D5" s="118" t="s">
        <v>1</v>
      </c>
      <c r="E5" s="124"/>
      <c r="F5" s="13">
        <v>360</v>
      </c>
      <c r="H5" s="125" t="s">
        <v>57</v>
      </c>
      <c r="I5" s="126"/>
      <c r="J5" s="112">
        <v>1500</v>
      </c>
      <c r="L5" s="10" t="s">
        <v>60</v>
      </c>
      <c r="M5" s="19">
        <f>L68/B4</f>
        <v>194600.94064178283</v>
      </c>
    </row>
    <row r="6" spans="1:16">
      <c r="A6" s="6" t="s">
        <v>23</v>
      </c>
      <c r="B6" s="108">
        <v>23880</v>
      </c>
      <c r="D6" s="118" t="s">
        <v>8</v>
      </c>
      <c r="E6" s="124"/>
      <c r="F6" s="14">
        <v>0.04</v>
      </c>
      <c r="H6" s="125" t="s">
        <v>58</v>
      </c>
      <c r="I6" s="126"/>
      <c r="J6" s="112">
        <v>1500</v>
      </c>
      <c r="L6" s="98" t="s">
        <v>89</v>
      </c>
      <c r="M6" s="113">
        <v>4.4999999999999998E-2</v>
      </c>
    </row>
    <row r="7" spans="1:16">
      <c r="A7" s="6" t="s">
        <v>10</v>
      </c>
      <c r="B7" s="7">
        <v>46839</v>
      </c>
      <c r="D7" s="118" t="s">
        <v>14</v>
      </c>
      <c r="E7" s="124"/>
      <c r="F7" s="15">
        <f>-PMT(F6/12,F5,F2)</f>
        <v>10503.136500240109</v>
      </c>
      <c r="G7" s="16"/>
      <c r="H7" s="125" t="s">
        <v>56</v>
      </c>
      <c r="I7" s="126"/>
      <c r="J7" s="112">
        <v>10000</v>
      </c>
      <c r="L7" s="98" t="s">
        <v>54</v>
      </c>
      <c r="M7" s="113">
        <v>7.4999999999999997E-3</v>
      </c>
    </row>
    <row r="8" spans="1:16">
      <c r="A8" s="10" t="s">
        <v>19</v>
      </c>
      <c r="B8" s="7">
        <f>B6/B4</f>
        <v>1194</v>
      </c>
      <c r="D8" s="122" t="s">
        <v>15</v>
      </c>
      <c r="E8" s="122"/>
      <c r="F8" s="78">
        <f>D57/(F7*12)</f>
        <v>1.4377809904360259</v>
      </c>
      <c r="G8" s="17"/>
      <c r="H8" s="73" t="s">
        <v>70</v>
      </c>
      <c r="I8" s="114">
        <v>500</v>
      </c>
      <c r="J8" s="76">
        <f>I8*B4</f>
        <v>10000</v>
      </c>
      <c r="L8" s="98" t="s">
        <v>90</v>
      </c>
      <c r="M8" s="99">
        <f>M7+M6</f>
        <v>5.2499999999999998E-2</v>
      </c>
    </row>
    <row r="9" spans="1:16">
      <c r="A9" s="10" t="s">
        <v>46</v>
      </c>
      <c r="B9" s="18">
        <v>3550000</v>
      </c>
      <c r="H9" s="120" t="s">
        <v>52</v>
      </c>
      <c r="I9" s="120"/>
      <c r="J9" s="79">
        <f>SUM(J2:J8)</f>
        <v>1407600</v>
      </c>
    </row>
    <row r="10" spans="1:16">
      <c r="A10" s="10" t="s">
        <v>45</v>
      </c>
      <c r="B10" s="115">
        <f>D57/B9</f>
        <v>5.1046343661971826E-2</v>
      </c>
      <c r="H10" s="4"/>
      <c r="I10" s="4"/>
    </row>
    <row r="11" spans="1:16">
      <c r="A11" s="10" t="s">
        <v>3</v>
      </c>
      <c r="B11" s="77">
        <f>B9/D36</f>
        <v>13.577810415519247</v>
      </c>
      <c r="H11" s="4"/>
      <c r="I11" s="4"/>
    </row>
    <row r="12" spans="1:16">
      <c r="A12" s="10" t="s">
        <v>9</v>
      </c>
      <c r="B12" s="19">
        <f>B9/B6</f>
        <v>148.65996649916246</v>
      </c>
      <c r="H12" s="4"/>
      <c r="I12" s="4"/>
    </row>
    <row r="13" spans="1:16">
      <c r="A13" s="10" t="s">
        <v>11</v>
      </c>
      <c r="B13" s="19">
        <f>B9/B4</f>
        <v>177500</v>
      </c>
      <c r="H13" s="4"/>
      <c r="I13" s="4"/>
    </row>
    <row r="14" spans="1:16">
      <c r="A14" s="92"/>
      <c r="B14" s="93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17" t="s">
        <v>37</v>
      </c>
      <c r="J18" s="117"/>
      <c r="K18" s="117"/>
      <c r="L18" s="117"/>
      <c r="M18" s="117"/>
      <c r="N18" s="117"/>
    </row>
    <row r="19" spans="1:19">
      <c r="A19" s="116" t="s">
        <v>38</v>
      </c>
      <c r="B19" s="116" t="s">
        <v>24</v>
      </c>
      <c r="C19" s="116" t="s">
        <v>43</v>
      </c>
      <c r="D19" s="116" t="s">
        <v>36</v>
      </c>
      <c r="E19" s="116" t="s">
        <v>39</v>
      </c>
      <c r="F19" s="116" t="s">
        <v>40</v>
      </c>
      <c r="G19" s="116" t="s">
        <v>32</v>
      </c>
      <c r="H19" s="116" t="s">
        <v>30</v>
      </c>
      <c r="I19" s="116" t="s">
        <v>31</v>
      </c>
      <c r="J19" s="116" t="s">
        <v>41</v>
      </c>
      <c r="K19" s="116" t="s">
        <v>34</v>
      </c>
      <c r="L19" s="116" t="s">
        <v>35</v>
      </c>
      <c r="M19" s="116" t="s">
        <v>67</v>
      </c>
      <c r="N19" s="116" t="s">
        <v>42</v>
      </c>
    </row>
    <row r="20" spans="1:19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</row>
    <row r="21" spans="1:19">
      <c r="A21" s="90">
        <v>1</v>
      </c>
      <c r="B21" s="90" t="s">
        <v>93</v>
      </c>
      <c r="C21" s="23">
        <f>A21/B4</f>
        <v>0.05</v>
      </c>
      <c r="D21" s="90">
        <v>350</v>
      </c>
      <c r="E21" s="91">
        <v>888</v>
      </c>
      <c r="F21" s="25">
        <f>E21*A21</f>
        <v>888</v>
      </c>
      <c r="G21" s="24">
        <f>F21*12</f>
        <v>10656</v>
      </c>
      <c r="H21" s="26">
        <f>F21/(D21*A21)</f>
        <v>2.5371428571428569</v>
      </c>
      <c r="I21" s="91">
        <v>888</v>
      </c>
      <c r="J21" s="24">
        <f>I21*A21</f>
        <v>888</v>
      </c>
      <c r="K21" s="24">
        <f>J21*12</f>
        <v>10656</v>
      </c>
      <c r="L21" s="26">
        <f>I21/D21</f>
        <v>2.5371428571428569</v>
      </c>
      <c r="M21" s="27">
        <f>K21-G21</f>
        <v>0</v>
      </c>
      <c r="N21" s="28">
        <f>M21/G21</f>
        <v>0</v>
      </c>
    </row>
    <row r="22" spans="1:19">
      <c r="A22" s="90">
        <v>11</v>
      </c>
      <c r="B22" s="90" t="s">
        <v>81</v>
      </c>
      <c r="C22" s="23">
        <f>A22/B4</f>
        <v>0.55000000000000004</v>
      </c>
      <c r="D22" s="90">
        <v>700</v>
      </c>
      <c r="E22" s="91">
        <v>1000</v>
      </c>
      <c r="F22" s="25">
        <f t="shared" ref="F22:F25" si="0">E22*A22</f>
        <v>11000</v>
      </c>
      <c r="G22" s="24">
        <f t="shared" ref="G22:G25" si="1">F22*12</f>
        <v>132000</v>
      </c>
      <c r="H22" s="26">
        <f t="shared" ref="H22:H25" si="2">F22/(D22*A22)</f>
        <v>1.4285714285714286</v>
      </c>
      <c r="I22" s="91">
        <v>1000</v>
      </c>
      <c r="J22" s="24">
        <f t="shared" ref="J22:J25" si="3">I22*A22</f>
        <v>11000</v>
      </c>
      <c r="K22" s="24">
        <f t="shared" ref="K22:K25" si="4">J22*12</f>
        <v>132000</v>
      </c>
      <c r="L22" s="26">
        <f t="shared" ref="L22:L25" si="5">I22/D22</f>
        <v>1.4285714285714286</v>
      </c>
      <c r="M22" s="27">
        <f t="shared" ref="M22:M25" si="6">K22-G22</f>
        <v>0</v>
      </c>
      <c r="N22" s="28">
        <f t="shared" ref="N22:N25" si="7">M22/G22</f>
        <v>0</v>
      </c>
    </row>
    <row r="23" spans="1:19">
      <c r="A23" s="90">
        <v>5</v>
      </c>
      <c r="B23" s="90" t="s">
        <v>95</v>
      </c>
      <c r="C23" s="23">
        <f>A23/B4</f>
        <v>0.25</v>
      </c>
      <c r="D23" s="90">
        <v>700</v>
      </c>
      <c r="E23" s="91">
        <v>1100</v>
      </c>
      <c r="F23" s="25">
        <f>E23*A23</f>
        <v>5500</v>
      </c>
      <c r="G23" s="24">
        <f t="shared" si="1"/>
        <v>66000</v>
      </c>
      <c r="H23" s="26">
        <f t="shared" si="2"/>
        <v>1.5714285714285714</v>
      </c>
      <c r="I23" s="91">
        <v>1100</v>
      </c>
      <c r="J23" s="24">
        <f t="shared" si="3"/>
        <v>5500</v>
      </c>
      <c r="K23" s="24">
        <f t="shared" si="4"/>
        <v>66000</v>
      </c>
      <c r="L23" s="26">
        <f t="shared" si="5"/>
        <v>1.5714285714285714</v>
      </c>
      <c r="M23" s="27">
        <f t="shared" si="6"/>
        <v>0</v>
      </c>
      <c r="N23" s="28">
        <f t="shared" si="7"/>
        <v>0</v>
      </c>
    </row>
    <row r="24" spans="1:19">
      <c r="A24" s="90">
        <v>2</v>
      </c>
      <c r="B24" s="90" t="s">
        <v>94</v>
      </c>
      <c r="C24" s="23">
        <f>A24/B4</f>
        <v>0.1</v>
      </c>
      <c r="D24" s="90">
        <v>855</v>
      </c>
      <c r="E24" s="91">
        <v>1200</v>
      </c>
      <c r="F24" s="25">
        <f t="shared" si="0"/>
        <v>2400</v>
      </c>
      <c r="G24" s="24">
        <f t="shared" si="1"/>
        <v>28800</v>
      </c>
      <c r="H24" s="26">
        <f t="shared" si="2"/>
        <v>1.4035087719298245</v>
      </c>
      <c r="I24" s="91">
        <v>1200</v>
      </c>
      <c r="J24" s="24">
        <f t="shared" si="3"/>
        <v>2400</v>
      </c>
      <c r="K24" s="24">
        <f t="shared" si="4"/>
        <v>28800</v>
      </c>
      <c r="L24" s="26">
        <f t="shared" si="5"/>
        <v>1.4035087719298245</v>
      </c>
      <c r="M24" s="27">
        <f t="shared" si="6"/>
        <v>0</v>
      </c>
      <c r="N24" s="28">
        <f t="shared" si="7"/>
        <v>0</v>
      </c>
    </row>
    <row r="25" spans="1:19">
      <c r="A25" s="90">
        <v>1</v>
      </c>
      <c r="B25" s="90" t="s">
        <v>82</v>
      </c>
      <c r="C25" s="23">
        <f>A25/B4</f>
        <v>0.05</v>
      </c>
      <c r="D25" s="90">
        <v>1650</v>
      </c>
      <c r="E25" s="91">
        <v>2000</v>
      </c>
      <c r="F25" s="25">
        <f t="shared" si="0"/>
        <v>2000</v>
      </c>
      <c r="G25" s="24">
        <f t="shared" si="1"/>
        <v>24000</v>
      </c>
      <c r="H25" s="26">
        <f t="shared" si="2"/>
        <v>1.2121212121212122</v>
      </c>
      <c r="I25" s="91">
        <v>2000</v>
      </c>
      <c r="J25" s="24">
        <f t="shared" si="3"/>
        <v>2000</v>
      </c>
      <c r="K25" s="24">
        <f t="shared" si="4"/>
        <v>24000</v>
      </c>
      <c r="L25" s="26">
        <f t="shared" si="5"/>
        <v>1.2121212121212122</v>
      </c>
      <c r="M25" s="27">
        <f t="shared" si="6"/>
        <v>0</v>
      </c>
      <c r="N25" s="28">
        <f t="shared" si="7"/>
        <v>0</v>
      </c>
    </row>
    <row r="26" spans="1:19">
      <c r="A26" s="30">
        <f>B4</f>
        <v>20</v>
      </c>
      <c r="B26" s="31"/>
      <c r="C26" s="32">
        <f>SUM(C21,C22,C23,C24,C25)</f>
        <v>1</v>
      </c>
      <c r="D26" s="33">
        <f>B6</f>
        <v>23880</v>
      </c>
      <c r="E26" s="2"/>
      <c r="F26" s="34">
        <f>'Rent Roll'!D24</f>
        <v>21788</v>
      </c>
      <c r="G26" s="2">
        <f>'Rent Roll'!E24</f>
        <v>261456</v>
      </c>
      <c r="H26" s="35">
        <f>'Rent Roll'!F24</f>
        <v>1.5063855092276148</v>
      </c>
      <c r="I26" s="30"/>
      <c r="J26" s="2">
        <f>'Rent Roll'!G24</f>
        <v>21788</v>
      </c>
      <c r="K26" s="2">
        <f>'Rent Roll'!H24</f>
        <v>261456</v>
      </c>
      <c r="L26" s="35">
        <f>'Rent Roll'!I24</f>
        <v>1.5063855092276148</v>
      </c>
      <c r="M26" s="2">
        <f>'Rent Roll'!J24*12</f>
        <v>0</v>
      </c>
      <c r="N26" s="32">
        <f>M26/G26</f>
        <v>0</v>
      </c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22"/>
      <c r="B34" s="22"/>
      <c r="C34" s="22"/>
      <c r="D34" s="36">
        <v>1</v>
      </c>
      <c r="E34" s="36"/>
      <c r="F34" s="37">
        <f>D34+1</f>
        <v>2</v>
      </c>
      <c r="G34" s="37"/>
      <c r="H34" s="37">
        <f>F34+1</f>
        <v>3</v>
      </c>
      <c r="I34" s="37"/>
      <c r="J34" s="37">
        <f>H34+1</f>
        <v>4</v>
      </c>
      <c r="K34" s="37"/>
      <c r="L34" s="37">
        <f>J34+1</f>
        <v>5</v>
      </c>
      <c r="M34" s="37"/>
      <c r="N34" s="37">
        <f t="shared" ref="N34" si="8">L34+1</f>
        <v>6</v>
      </c>
      <c r="O34" s="38"/>
      <c r="P34" s="38"/>
      <c r="Q34" s="38"/>
      <c r="R34" s="38"/>
      <c r="S34" s="38"/>
    </row>
    <row r="35" spans="1:19">
      <c r="A35" s="39" t="s">
        <v>0</v>
      </c>
      <c r="B35" s="22"/>
      <c r="C35" s="40" t="s">
        <v>65</v>
      </c>
      <c r="D35" s="103">
        <v>0</v>
      </c>
      <c r="E35" s="42"/>
      <c r="F35" s="103">
        <v>0.02</v>
      </c>
      <c r="G35" s="104"/>
      <c r="H35" s="103">
        <v>0.02</v>
      </c>
      <c r="I35" s="104"/>
      <c r="J35" s="103">
        <v>0.03</v>
      </c>
      <c r="K35" s="104"/>
      <c r="L35" s="103">
        <v>0.03</v>
      </c>
      <c r="M35" s="104"/>
      <c r="N35" s="103">
        <v>0.03</v>
      </c>
      <c r="O35" s="22"/>
      <c r="P35" s="22"/>
      <c r="Q35" s="22"/>
      <c r="R35" s="22"/>
      <c r="S35" s="22"/>
    </row>
    <row r="36" spans="1:19">
      <c r="A36" s="43" t="s">
        <v>25</v>
      </c>
      <c r="B36" s="22"/>
      <c r="C36" s="22"/>
      <c r="D36" s="44">
        <f>G26</f>
        <v>261456</v>
      </c>
      <c r="E36" s="27"/>
      <c r="F36" s="27">
        <f>D36*(1+F$35)</f>
        <v>266685.12</v>
      </c>
      <c r="G36" s="27"/>
      <c r="H36" s="27">
        <f>F36*(1+H$35)</f>
        <v>272018.8224</v>
      </c>
      <c r="I36" s="27"/>
      <c r="J36" s="27">
        <f>H36*(1+J$35)</f>
        <v>280179.38707200001</v>
      </c>
      <c r="K36" s="27"/>
      <c r="L36" s="27">
        <f>J36*(1+L$35)</f>
        <v>288584.76868416002</v>
      </c>
      <c r="M36" s="27"/>
      <c r="N36" s="27">
        <f>L36*(1+N$35)</f>
        <v>297242.31174468482</v>
      </c>
      <c r="O36" s="22"/>
      <c r="P36" s="22"/>
      <c r="Q36" s="22"/>
      <c r="R36" s="22"/>
      <c r="S36" s="22"/>
    </row>
    <row r="37" spans="1:19">
      <c r="A37" s="97" t="s">
        <v>83</v>
      </c>
      <c r="B37" s="22"/>
      <c r="C37" s="22"/>
      <c r="D37" s="102">
        <v>2000</v>
      </c>
      <c r="E37" s="45"/>
      <c r="F37" s="27">
        <f>D37*(1+F$35)</f>
        <v>2040</v>
      </c>
      <c r="G37" s="27"/>
      <c r="H37" s="27">
        <f>F37*(1+H$35)</f>
        <v>2080.8000000000002</v>
      </c>
      <c r="I37" s="27"/>
      <c r="J37" s="27">
        <f>H37*(1+J$35)</f>
        <v>2143.2240000000002</v>
      </c>
      <c r="K37" s="27"/>
      <c r="L37" s="27">
        <f>J37*(1+L$35)</f>
        <v>2207.5207200000004</v>
      </c>
      <c r="M37" s="27"/>
      <c r="N37" s="27">
        <f>L37*(1+N$35)</f>
        <v>2273.7463416000005</v>
      </c>
      <c r="O37" s="22"/>
      <c r="P37" s="22"/>
      <c r="Q37" s="22"/>
      <c r="R37" s="22"/>
      <c r="S37" s="22"/>
    </row>
    <row r="38" spans="1:19">
      <c r="A38" s="3" t="s">
        <v>18</v>
      </c>
      <c r="B38" s="3"/>
      <c r="C38" s="3"/>
      <c r="D38" s="2">
        <f>SUM(D36:D37)</f>
        <v>263456</v>
      </c>
      <c r="E38" s="2"/>
      <c r="F38" s="2">
        <f>SUM(F36:F37)</f>
        <v>268725.12</v>
      </c>
      <c r="G38" s="2"/>
      <c r="H38" s="2">
        <f>SUM(H36:H37)</f>
        <v>274099.62239999999</v>
      </c>
      <c r="I38" s="2"/>
      <c r="J38" s="2">
        <f>SUM(J36:J37)</f>
        <v>282322.611072</v>
      </c>
      <c r="K38" s="2"/>
      <c r="L38" s="2">
        <f>SUM(L36:L37)</f>
        <v>290792.28940415999</v>
      </c>
      <c r="M38" s="2"/>
      <c r="N38" s="2">
        <f>SUM(N36:N37)</f>
        <v>299516.05808628484</v>
      </c>
      <c r="O38" s="22"/>
      <c r="P38" s="22"/>
      <c r="Q38" s="22"/>
      <c r="R38" s="22"/>
      <c r="S38" s="22"/>
    </row>
    <row r="39" spans="1:19">
      <c r="A39" s="22"/>
      <c r="B39" s="22"/>
      <c r="C39" s="22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22"/>
      <c r="P39" s="22"/>
      <c r="Q39" s="22"/>
      <c r="R39" s="22"/>
      <c r="S39" s="22"/>
    </row>
    <row r="40" spans="1:19">
      <c r="A40" s="22"/>
      <c r="B40" s="22"/>
      <c r="C40" s="40" t="s">
        <v>68</v>
      </c>
      <c r="D40" s="103">
        <v>0.08</v>
      </c>
      <c r="E40" s="46"/>
      <c r="F40" s="103">
        <v>0.08</v>
      </c>
      <c r="G40" s="46"/>
      <c r="H40" s="103">
        <v>0.06</v>
      </c>
      <c r="I40" s="46"/>
      <c r="J40" s="41">
        <v>0.06</v>
      </c>
      <c r="K40" s="46"/>
      <c r="L40" s="41">
        <v>0.06</v>
      </c>
      <c r="M40" s="46"/>
      <c r="N40" s="41">
        <v>0.06</v>
      </c>
      <c r="O40" s="22"/>
      <c r="P40" s="22"/>
      <c r="Q40" s="22"/>
      <c r="R40" s="22"/>
      <c r="S40" s="22"/>
    </row>
    <row r="41" spans="1:19">
      <c r="A41" s="43" t="s">
        <v>16</v>
      </c>
      <c r="B41" s="22"/>
      <c r="C41" s="22"/>
      <c r="D41" s="47">
        <f>D38*D40</f>
        <v>21076.48</v>
      </c>
      <c r="E41" s="47"/>
      <c r="F41" s="47">
        <f t="shared" ref="F41:N41" si="9">F38*F40</f>
        <v>21498.009600000001</v>
      </c>
      <c r="G41" s="47"/>
      <c r="H41" s="47">
        <f t="shared" si="9"/>
        <v>16445.977343999999</v>
      </c>
      <c r="I41" s="47"/>
      <c r="J41" s="47">
        <f t="shared" si="9"/>
        <v>16939.356664319999</v>
      </c>
      <c r="K41" s="47"/>
      <c r="L41" s="47">
        <f t="shared" si="9"/>
        <v>17447.537364249598</v>
      </c>
      <c r="M41" s="47"/>
      <c r="N41" s="47">
        <f t="shared" si="9"/>
        <v>17970.96348517709</v>
      </c>
      <c r="O41" s="22"/>
      <c r="P41" s="22"/>
      <c r="Q41" s="22"/>
      <c r="R41" s="22"/>
      <c r="S41" s="22"/>
    </row>
    <row r="42" spans="1:19">
      <c r="A42" s="3" t="s">
        <v>17</v>
      </c>
      <c r="B42" s="3"/>
      <c r="C42" s="3"/>
      <c r="D42" s="2">
        <f>D38-D41</f>
        <v>242379.51999999999</v>
      </c>
      <c r="E42" s="2"/>
      <c r="F42" s="2">
        <f>F38-F41</f>
        <v>247227.11040000001</v>
      </c>
      <c r="G42" s="2"/>
      <c r="H42" s="2">
        <f>H38-H41</f>
        <v>257653.64505599998</v>
      </c>
      <c r="I42" s="2"/>
      <c r="J42" s="2">
        <f>J38-J41</f>
        <v>265383.25440768001</v>
      </c>
      <c r="K42" s="2"/>
      <c r="L42" s="2">
        <f>L38-L41</f>
        <v>273344.75203991041</v>
      </c>
      <c r="M42" s="2"/>
      <c r="N42" s="2">
        <f>N38-N41</f>
        <v>281545.09460110776</v>
      </c>
      <c r="O42" s="22"/>
      <c r="P42" s="22"/>
      <c r="Q42" s="22"/>
      <c r="R42" s="22"/>
      <c r="S42" s="22"/>
    </row>
    <row r="43" spans="1:19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22"/>
      <c r="B44" s="22"/>
      <c r="C44" s="22"/>
      <c r="D44" s="22"/>
      <c r="E44" s="29" t="s">
        <v>21</v>
      </c>
      <c r="F44" s="29"/>
      <c r="G44" s="29" t="s">
        <v>21</v>
      </c>
      <c r="H44" s="29"/>
      <c r="I44" s="29" t="s">
        <v>21</v>
      </c>
      <c r="J44" s="29"/>
      <c r="K44" s="29" t="s">
        <v>21</v>
      </c>
      <c r="L44" s="29"/>
      <c r="M44" s="29" t="s">
        <v>21</v>
      </c>
      <c r="N44" s="22"/>
      <c r="O44" s="22"/>
      <c r="P44" s="22"/>
      <c r="Q44" s="22"/>
      <c r="R44" s="22"/>
      <c r="S44" s="22"/>
    </row>
    <row r="45" spans="1:19">
      <c r="A45" s="39" t="s">
        <v>26</v>
      </c>
      <c r="B45" s="22"/>
      <c r="C45" s="40" t="s">
        <v>65</v>
      </c>
      <c r="D45" s="103">
        <v>0</v>
      </c>
      <c r="E45" s="42"/>
      <c r="F45" s="103">
        <v>0.01</v>
      </c>
      <c r="G45" s="104"/>
      <c r="H45" s="103">
        <v>0.02</v>
      </c>
      <c r="I45" s="104"/>
      <c r="J45" s="103">
        <v>1.4999999999999999E-2</v>
      </c>
      <c r="K45" s="104"/>
      <c r="L45" s="103">
        <v>1.4999999999999999E-2</v>
      </c>
      <c r="M45" s="104"/>
      <c r="N45" s="103">
        <v>1.4999999999999999E-2</v>
      </c>
      <c r="O45" s="22"/>
      <c r="P45" s="22"/>
      <c r="Q45" s="22"/>
      <c r="R45" s="22"/>
      <c r="S45" s="22"/>
    </row>
    <row r="46" spans="1:19">
      <c r="A46" s="97" t="s">
        <v>84</v>
      </c>
      <c r="B46" s="43"/>
      <c r="C46" s="22"/>
      <c r="D46" s="100">
        <v>8007</v>
      </c>
      <c r="E46" s="48">
        <f t="shared" ref="E46:E54" si="10">D46/D$42</f>
        <v>3.3034969291134829E-2</v>
      </c>
      <c r="F46" s="49">
        <f>D46*1.05</f>
        <v>8407.35</v>
      </c>
      <c r="G46" s="48">
        <f>F46/F$42</f>
        <v>3.4006586034991737E-2</v>
      </c>
      <c r="H46" s="49">
        <f>F46*1.05</f>
        <v>8827.7175000000007</v>
      </c>
      <c r="I46" s="48">
        <f>H46/H$42</f>
        <v>3.4261954641011706E-2</v>
      </c>
      <c r="J46" s="49">
        <f>H46*1.05</f>
        <v>9269.1033750000006</v>
      </c>
      <c r="K46" s="48">
        <f>J46/J$42</f>
        <v>3.4927235313652702E-2</v>
      </c>
      <c r="L46" s="49">
        <f>J46*1.05</f>
        <v>9732.5585437500013</v>
      </c>
      <c r="M46" s="48">
        <f>L46/L$42</f>
        <v>3.5605434057607126E-2</v>
      </c>
      <c r="N46" s="49">
        <f>L46*1.05</f>
        <v>10219.186470937502</v>
      </c>
      <c r="O46" s="22"/>
      <c r="P46" s="22"/>
      <c r="Q46" s="22"/>
      <c r="R46" s="22"/>
      <c r="S46" s="22"/>
    </row>
    <row r="47" spans="1:19">
      <c r="A47" s="43" t="s">
        <v>61</v>
      </c>
      <c r="B47" s="43"/>
      <c r="C47" s="22"/>
      <c r="D47" s="50">
        <v>4000</v>
      </c>
      <c r="E47" s="51">
        <f t="shared" si="10"/>
        <v>1.6503044481645975E-2</v>
      </c>
      <c r="F47" s="49">
        <f>D47*(1+F$45)</f>
        <v>4040</v>
      </c>
      <c r="G47" s="51">
        <f>F47/F$42</f>
        <v>1.6341249927904346E-2</v>
      </c>
      <c r="H47" s="49">
        <f>F47*(1+H$45)</f>
        <v>4120.8</v>
      </c>
      <c r="I47" s="51">
        <f>H47/H$42</f>
        <v>1.5993563759225532E-2</v>
      </c>
      <c r="J47" s="49">
        <f>H47*(1+J$45)</f>
        <v>4182.6120000000001</v>
      </c>
      <c r="K47" s="51">
        <f>J47/J$42</f>
        <v>1.5760647782149431E-2</v>
      </c>
      <c r="L47" s="49">
        <f>J47*(1+L$45)</f>
        <v>4245.3511799999997</v>
      </c>
      <c r="M47" s="51">
        <f>L47/L$42</f>
        <v>1.553112378532201E-2</v>
      </c>
      <c r="N47" s="49">
        <f>L47*(1+N$45)</f>
        <v>4309.0314476999993</v>
      </c>
      <c r="O47" s="22"/>
      <c r="P47" s="22"/>
      <c r="Q47" s="22"/>
      <c r="R47" s="22"/>
      <c r="S47" s="22"/>
    </row>
    <row r="48" spans="1:19">
      <c r="A48" s="97" t="s">
        <v>85</v>
      </c>
      <c r="B48" s="43"/>
      <c r="C48" s="22"/>
      <c r="D48" s="101">
        <v>15000</v>
      </c>
      <c r="E48" s="51">
        <f>D48/D$42</f>
        <v>6.1886416806172406E-2</v>
      </c>
      <c r="F48" s="49">
        <f>D48*(1+F$45)</f>
        <v>15150</v>
      </c>
      <c r="G48" s="51">
        <f>F48/F$42</f>
        <v>6.1279687229641298E-2</v>
      </c>
      <c r="H48" s="49">
        <f>F48*(1+H$45)</f>
        <v>15453</v>
      </c>
      <c r="I48" s="51">
        <f>H48/H$42</f>
        <v>5.9975864097095745E-2</v>
      </c>
      <c r="J48" s="49">
        <f>H48*(1+J$45)</f>
        <v>15684.794999999998</v>
      </c>
      <c r="K48" s="51">
        <f>J48/J$42</f>
        <v>5.9102429183060357E-2</v>
      </c>
      <c r="L48" s="49">
        <f>J48*(1+L$45)</f>
        <v>15920.066924999997</v>
      </c>
      <c r="M48" s="51">
        <f t="shared" ref="M48" si="11">L48/L$42</f>
        <v>5.8241714194957536E-2</v>
      </c>
      <c r="N48" s="49">
        <f>L48*(1+N$45)</f>
        <v>16158.867928874995</v>
      </c>
      <c r="O48" s="22"/>
      <c r="P48" s="22"/>
      <c r="Q48" s="22"/>
      <c r="R48" s="22"/>
      <c r="S48" s="22"/>
    </row>
    <row r="49" spans="1:19">
      <c r="A49" s="97" t="s">
        <v>86</v>
      </c>
      <c r="B49" s="43"/>
      <c r="C49" s="22"/>
      <c r="D49" s="50">
        <v>4000</v>
      </c>
      <c r="E49" s="51">
        <f t="shared" si="10"/>
        <v>1.6503044481645975E-2</v>
      </c>
      <c r="F49" s="49">
        <f>D49*(1+F$45)</f>
        <v>4040</v>
      </c>
      <c r="G49" s="51">
        <f>F49/F$42</f>
        <v>1.6341249927904346E-2</v>
      </c>
      <c r="H49" s="49">
        <f>F49*(1+H$45)</f>
        <v>4120.8</v>
      </c>
      <c r="I49" s="51">
        <f>H49/H$42</f>
        <v>1.5993563759225532E-2</v>
      </c>
      <c r="J49" s="49">
        <f>H49*(1+J$45)</f>
        <v>4182.6120000000001</v>
      </c>
      <c r="K49" s="51">
        <f>J49/J$42</f>
        <v>1.5760647782149431E-2</v>
      </c>
      <c r="L49" s="49">
        <f>J49*(1+L$45)</f>
        <v>4245.3511799999997</v>
      </c>
      <c r="M49" s="51">
        <f t="shared" ref="M49" si="12">L49/L$42</f>
        <v>1.553112378532201E-2</v>
      </c>
      <c r="N49" s="49">
        <f>L49*(1+N$45)</f>
        <v>4309.0314476999993</v>
      </c>
      <c r="O49" s="22"/>
      <c r="P49" s="22"/>
      <c r="Q49" s="22"/>
      <c r="R49" s="22"/>
      <c r="S49" s="22"/>
    </row>
    <row r="50" spans="1:19">
      <c r="A50" s="97" t="s">
        <v>87</v>
      </c>
      <c r="B50" s="43"/>
      <c r="C50" s="22"/>
      <c r="D50" s="50">
        <v>2000</v>
      </c>
      <c r="E50" s="51">
        <f t="shared" si="10"/>
        <v>8.2515222408229873E-3</v>
      </c>
      <c r="F50" s="49">
        <f>D50*(1+F$45)</f>
        <v>2020</v>
      </c>
      <c r="G50" s="51">
        <f>F50/F$42</f>
        <v>8.1706249639521729E-3</v>
      </c>
      <c r="H50" s="49">
        <f>F50*(1+H$45)</f>
        <v>2060.4</v>
      </c>
      <c r="I50" s="51">
        <f>H50/H$42</f>
        <v>7.996781879612766E-3</v>
      </c>
      <c r="J50" s="49">
        <f>H50*(1+J$45)</f>
        <v>2091.306</v>
      </c>
      <c r="K50" s="51">
        <f>J50/J$42</f>
        <v>7.8803238910747156E-3</v>
      </c>
      <c r="L50" s="49">
        <f>J50*(1+L$45)</f>
        <v>2122.6755899999998</v>
      </c>
      <c r="M50" s="51">
        <f>L50/L$42</f>
        <v>7.7655618926610048E-3</v>
      </c>
      <c r="N50" s="49">
        <f>L50*(1+N$45)</f>
        <v>2154.5157238499996</v>
      </c>
      <c r="O50" s="22"/>
      <c r="P50" s="22"/>
      <c r="Q50" s="22"/>
      <c r="R50" s="22"/>
      <c r="S50" s="22"/>
    </row>
    <row r="51" spans="1:19">
      <c r="A51" s="97" t="s">
        <v>88</v>
      </c>
      <c r="B51" s="43"/>
      <c r="C51" s="22"/>
      <c r="D51" s="50">
        <v>2000</v>
      </c>
      <c r="E51" s="51">
        <f t="shared" ref="E51" si="13">D51/D$42</f>
        <v>8.2515222408229873E-3</v>
      </c>
      <c r="F51" s="49">
        <f>D51*(1+F$45)</f>
        <v>2020</v>
      </c>
      <c r="G51" s="51">
        <f t="shared" ref="G51" si="14">F51/F$42</f>
        <v>8.1706249639521729E-3</v>
      </c>
      <c r="H51" s="49">
        <f t="shared" ref="H51" si="15">F51*(1+H$45)</f>
        <v>2060.4</v>
      </c>
      <c r="I51" s="51">
        <f t="shared" ref="I51" si="16">H51/H$42</f>
        <v>7.996781879612766E-3</v>
      </c>
      <c r="J51" s="49">
        <f t="shared" ref="J51" si="17">H51*(1+J$45)</f>
        <v>2091.306</v>
      </c>
      <c r="K51" s="51">
        <f t="shared" ref="K51" si="18">J51/J$42</f>
        <v>7.8803238910747156E-3</v>
      </c>
      <c r="L51" s="49">
        <f t="shared" ref="L51" si="19">J51*(1+L$45)</f>
        <v>2122.6755899999998</v>
      </c>
      <c r="M51" s="51">
        <f>L51/L$42</f>
        <v>7.7655618926610048E-3</v>
      </c>
      <c r="N51" s="49">
        <f t="shared" ref="N51" si="20">L51*(1+N$45)</f>
        <v>2154.5157238499996</v>
      </c>
      <c r="O51" s="22"/>
      <c r="P51" s="22"/>
      <c r="Q51" s="22"/>
      <c r="R51" s="22"/>
      <c r="S51" s="22"/>
    </row>
    <row r="52" spans="1:19">
      <c r="A52" s="97" t="s">
        <v>62</v>
      </c>
      <c r="B52" s="43"/>
      <c r="C52" s="22"/>
      <c r="D52" s="50">
        <v>12158</v>
      </c>
      <c r="E52" s="51">
        <f>D52/D$42</f>
        <v>5.0161003701962942E-2</v>
      </c>
      <c r="F52" s="49">
        <f>D52*(1+F$45)</f>
        <v>12279.58</v>
      </c>
      <c r="G52" s="51">
        <f>F52/F$42</f>
        <v>4.966922915586526E-2</v>
      </c>
      <c r="H52" s="49">
        <f>F52*(1+H$45)</f>
        <v>12525.1716</v>
      </c>
      <c r="I52" s="51">
        <f>H52/H$42</f>
        <v>4.8612437046166003E-2</v>
      </c>
      <c r="J52" s="49">
        <f>H52*(1+J$45)</f>
        <v>12713.049173999998</v>
      </c>
      <c r="K52" s="51">
        <f>J52/J$42</f>
        <v>4.7904488933843185E-2</v>
      </c>
      <c r="L52" s="49">
        <f>J52*(1+L$45)</f>
        <v>12903.744911609996</v>
      </c>
      <c r="M52" s="51">
        <f>L52/L$42</f>
        <v>4.7206850745486237E-2</v>
      </c>
      <c r="N52" s="49">
        <f>L52*(1+N$45)</f>
        <v>13097.301085284145</v>
      </c>
      <c r="O52" s="22"/>
      <c r="P52" s="22"/>
      <c r="Q52" s="22"/>
      <c r="R52" s="22"/>
      <c r="S52" s="22"/>
    </row>
    <row r="53" spans="1:19">
      <c r="A53" s="43" t="s">
        <v>27</v>
      </c>
      <c r="B53" s="43"/>
      <c r="C53" s="22"/>
      <c r="D53" s="101">
        <v>10000</v>
      </c>
      <c r="E53" s="51">
        <f t="shared" si="10"/>
        <v>4.125761120411494E-2</v>
      </c>
      <c r="F53" s="49">
        <f>D53*(1+F$45)</f>
        <v>10100</v>
      </c>
      <c r="G53" s="51">
        <f>F53/F$42</f>
        <v>4.0853124819760868E-2</v>
      </c>
      <c r="H53" s="49">
        <f>F53*(1+H$45)</f>
        <v>10302</v>
      </c>
      <c r="I53" s="51">
        <f>H53/H$42</f>
        <v>3.998390939806383E-2</v>
      </c>
      <c r="J53" s="49">
        <f>H53*(1+J$45)</f>
        <v>10456.529999999999</v>
      </c>
      <c r="K53" s="51">
        <f>J53/J$42</f>
        <v>3.9401619455373571E-2</v>
      </c>
      <c r="L53" s="49">
        <f>J53*(1+L$45)</f>
        <v>10613.377949999998</v>
      </c>
      <c r="M53" s="51">
        <f>L53/L$42</f>
        <v>3.8827809463305024E-2</v>
      </c>
      <c r="N53" s="49">
        <f>L53*(1+N$45)</f>
        <v>10772.578619249996</v>
      </c>
      <c r="O53" s="22"/>
      <c r="P53" s="22"/>
      <c r="Q53" s="22"/>
      <c r="R53" s="22"/>
      <c r="S53" s="22"/>
    </row>
    <row r="54" spans="1:19">
      <c r="A54" s="43" t="s">
        <v>28</v>
      </c>
      <c r="B54" s="43"/>
      <c r="C54" s="22"/>
      <c r="D54" s="52">
        <f>B4*200</f>
        <v>4000</v>
      </c>
      <c r="E54" s="53">
        <f t="shared" si="10"/>
        <v>1.6503044481645975E-2</v>
      </c>
      <c r="F54" s="72">
        <f t="shared" ref="F54" si="21">D54*(1+F$45)</f>
        <v>4040</v>
      </c>
      <c r="G54" s="53">
        <f>F54/F$42</f>
        <v>1.6341249927904346E-2</v>
      </c>
      <c r="H54" s="72">
        <f>F54*(1+H$45)</f>
        <v>4120.8</v>
      </c>
      <c r="I54" s="53">
        <f>H54/H$42</f>
        <v>1.5993563759225532E-2</v>
      </c>
      <c r="J54" s="72">
        <f>H54*(1+J$45)</f>
        <v>4182.6120000000001</v>
      </c>
      <c r="K54" s="53">
        <f>J54/J$42</f>
        <v>1.5760647782149431E-2</v>
      </c>
      <c r="L54" s="72">
        <f>J54*(1+L$45)</f>
        <v>4245.3511799999997</v>
      </c>
      <c r="M54" s="53">
        <f>L54/L$42</f>
        <v>1.553112378532201E-2</v>
      </c>
      <c r="N54" s="49">
        <f t="shared" ref="N54" si="22">L54*(1+N$45)</f>
        <v>4309.0314476999993</v>
      </c>
      <c r="O54" s="22"/>
      <c r="P54" s="22"/>
      <c r="Q54" s="22"/>
      <c r="R54" s="22"/>
      <c r="S54" s="22"/>
    </row>
    <row r="55" spans="1:19">
      <c r="A55" s="3" t="s">
        <v>63</v>
      </c>
      <c r="B55" s="30"/>
      <c r="C55" s="30"/>
      <c r="D55" s="2">
        <f>SUM(D46:D54)</f>
        <v>61165</v>
      </c>
      <c r="E55" s="32">
        <f>SUM(E46:E54)</f>
        <v>0.25235217892996903</v>
      </c>
      <c r="F55" s="2">
        <f>SUM(F46:F54)</f>
        <v>62096.93</v>
      </c>
      <c r="G55" s="32">
        <f>SUM(G46:G54)</f>
        <v>0.25117362695187656</v>
      </c>
      <c r="H55" s="2">
        <f>SUM(H46:H54)</f>
        <v>63591.089100000005</v>
      </c>
      <c r="I55" s="32">
        <f>SUM(I46:I54)</f>
        <v>0.2468084202192394</v>
      </c>
      <c r="J55" s="2">
        <f>SUM(J46:J54)</f>
        <v>64853.925548999992</v>
      </c>
      <c r="K55" s="32">
        <f>SUM(K46:K54)</f>
        <v>0.2443783640145275</v>
      </c>
      <c r="L55" s="2">
        <f>SUM(L46:L54)</f>
        <v>66151.153050359993</v>
      </c>
      <c r="M55" s="32">
        <f>SUM(M46:M54)</f>
        <v>0.24200630360264394</v>
      </c>
      <c r="N55" s="2">
        <f>SUM(N46:N54)</f>
        <v>67484.059895146638</v>
      </c>
      <c r="O55" s="45"/>
      <c r="P55" s="22"/>
      <c r="Q55" s="22"/>
      <c r="R55" s="22"/>
      <c r="S55" s="22"/>
    </row>
    <row r="56" spans="1:19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3" t="s">
        <v>64</v>
      </c>
      <c r="B57" s="30"/>
      <c r="C57" s="30"/>
      <c r="D57" s="2">
        <f>D$42-D$55</f>
        <v>181214.52</v>
      </c>
      <c r="E57" s="32"/>
      <c r="F57" s="2">
        <f>F$42-F$55</f>
        <v>185130.18040000001</v>
      </c>
      <c r="G57" s="32"/>
      <c r="H57" s="2">
        <f>H$42-H$55</f>
        <v>194062.55595599997</v>
      </c>
      <c r="I57" s="32"/>
      <c r="J57" s="2">
        <f>J$42-J$55</f>
        <v>200529.32885868003</v>
      </c>
      <c r="K57" s="32"/>
      <c r="L57" s="2">
        <f>L$42-L$55</f>
        <v>207193.59898955043</v>
      </c>
      <c r="M57" s="32"/>
      <c r="N57" s="2">
        <f>N$42-N$55</f>
        <v>214061.03470596112</v>
      </c>
      <c r="O57" s="45"/>
      <c r="P57" s="22"/>
      <c r="Q57" s="22"/>
      <c r="R57" s="22"/>
      <c r="S57" s="22"/>
    </row>
    <row r="58" spans="1:19">
      <c r="A58" s="22"/>
      <c r="B58" s="22"/>
      <c r="C58" s="22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22"/>
      <c r="Q58" s="22"/>
      <c r="R58" s="22"/>
      <c r="S58" s="22"/>
    </row>
    <row r="59" spans="1:19">
      <c r="A59" s="43" t="s">
        <v>69</v>
      </c>
      <c r="B59" s="22"/>
      <c r="C59" s="22"/>
      <c r="D59" s="105">
        <f>F7*12</f>
        <v>126037.63800288131</v>
      </c>
      <c r="E59" s="106"/>
      <c r="F59" s="105">
        <f>D59</f>
        <v>126037.63800288131</v>
      </c>
      <c r="G59" s="45"/>
      <c r="H59" s="27">
        <f>D59</f>
        <v>126037.63800288131</v>
      </c>
      <c r="I59" s="45"/>
      <c r="J59" s="27">
        <f>F59</f>
        <v>126037.63800288131</v>
      </c>
      <c r="K59" s="45"/>
      <c r="L59" s="27">
        <f>H59</f>
        <v>126037.63800288131</v>
      </c>
      <c r="M59" s="22"/>
      <c r="N59" s="22"/>
      <c r="O59" s="45"/>
      <c r="P59" s="22"/>
      <c r="Q59" s="22"/>
      <c r="R59" s="22"/>
      <c r="S59" s="22"/>
    </row>
    <row r="60" spans="1:19">
      <c r="A60" s="3" t="s">
        <v>71</v>
      </c>
      <c r="B60" s="30"/>
      <c r="C60" s="30"/>
      <c r="D60" s="2">
        <f>D$57-D$59</f>
        <v>55176.881997118675</v>
      </c>
      <c r="E60" s="32"/>
      <c r="F60" s="2">
        <f>F$57-F$59</f>
        <v>59092.542397118697</v>
      </c>
      <c r="G60" s="32"/>
      <c r="H60" s="2">
        <f>H$57-H$59</f>
        <v>68024.917953118653</v>
      </c>
      <c r="I60" s="32"/>
      <c r="J60" s="2">
        <f>J$57-J$59</f>
        <v>74491.690855798719</v>
      </c>
      <c r="K60" s="32"/>
      <c r="L60" s="2">
        <f>L$57-L$59</f>
        <v>81155.960986669117</v>
      </c>
      <c r="M60" s="22"/>
      <c r="N60" s="22"/>
      <c r="O60" s="45"/>
      <c r="P60" s="22"/>
      <c r="Q60" s="22"/>
      <c r="R60" s="22"/>
      <c r="S60" s="22"/>
    </row>
    <row r="61" spans="1:19">
      <c r="A61" s="22"/>
      <c r="B61" s="22"/>
      <c r="C61" s="22"/>
      <c r="D61" s="45"/>
      <c r="E61" s="45"/>
      <c r="F61" s="45"/>
      <c r="G61" s="45"/>
      <c r="H61" s="45"/>
      <c r="I61" s="45"/>
      <c r="J61" s="45"/>
      <c r="K61" s="45"/>
      <c r="L61" s="45"/>
      <c r="M61" s="22"/>
      <c r="N61" s="22"/>
      <c r="O61" s="45"/>
      <c r="P61" s="22"/>
      <c r="Q61" s="22"/>
      <c r="R61" s="22"/>
      <c r="S61" s="22"/>
    </row>
    <row r="62" spans="1:19">
      <c r="A62" s="3" t="s">
        <v>77</v>
      </c>
      <c r="B62" s="30"/>
      <c r="C62" s="30"/>
      <c r="D62" s="82">
        <f>PV($F$6/12,$F$5-(D34*12),$F$7)</f>
        <v>-2161257.1984684858</v>
      </c>
      <c r="E62" s="82"/>
      <c r="F62" s="82">
        <f>PV($F$6/12,$F$5-(F34*12),$F$7)</f>
        <v>-2120935.9554255102</v>
      </c>
      <c r="G62" s="82"/>
      <c r="H62" s="82">
        <f>PV($F$6/12,$F$5-(H34*12),$F$7)</f>
        <v>-2078971.9627285202</v>
      </c>
      <c r="I62" s="82"/>
      <c r="J62" s="82">
        <f>PV($F$6/12,$F$5-(J34*12),$F$7)</f>
        <v>-2035298.2922219797</v>
      </c>
      <c r="K62" s="82"/>
      <c r="L62" s="82">
        <f>PV($F$6/12,$F$5-(L34*12),$F$7)</f>
        <v>-1989845.2889940322</v>
      </c>
      <c r="M62" s="22"/>
      <c r="N62" s="22"/>
      <c r="O62" s="45"/>
      <c r="P62" s="22"/>
      <c r="Q62" s="22"/>
      <c r="R62" s="22"/>
      <c r="S62" s="22"/>
    </row>
    <row r="63" spans="1:19">
      <c r="A63" s="3" t="s">
        <v>15</v>
      </c>
      <c r="B63" s="30"/>
      <c r="C63" s="30"/>
      <c r="D63" s="81">
        <f>D$57/($F$7*12)</f>
        <v>1.4377809904360259</v>
      </c>
      <c r="E63" s="82"/>
      <c r="F63" s="81">
        <f>F$57/($F$7*12)</f>
        <v>1.4688483800035017</v>
      </c>
      <c r="G63" s="81"/>
      <c r="H63" s="81">
        <f>H$57/($F$7*12)</f>
        <v>1.5397190794035949</v>
      </c>
      <c r="I63" s="81"/>
      <c r="J63" s="81">
        <f>J$57/($F$7*12)</f>
        <v>1.5910273473555239</v>
      </c>
      <c r="K63" s="81"/>
      <c r="L63" s="81">
        <f>L$57/($F$7*12)</f>
        <v>1.6439025855499914</v>
      </c>
      <c r="M63" s="45"/>
      <c r="N63" s="45"/>
      <c r="O63" s="45"/>
      <c r="P63" s="22"/>
      <c r="Q63" s="22"/>
      <c r="R63" s="22"/>
      <c r="S63" s="22"/>
    </row>
    <row r="64" spans="1:19">
      <c r="A64" s="22"/>
      <c r="B64" s="22"/>
      <c r="C64" s="22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22"/>
      <c r="Q64" s="22"/>
      <c r="R64" s="22"/>
      <c r="S64" s="22"/>
    </row>
    <row r="65" spans="1:19">
      <c r="A65" s="39" t="s">
        <v>73</v>
      </c>
      <c r="B65" s="22"/>
      <c r="C65" s="45" t="s">
        <v>72</v>
      </c>
      <c r="D65" s="36">
        <v>1</v>
      </c>
      <c r="E65" s="36"/>
      <c r="F65" s="37">
        <f>D65+1</f>
        <v>2</v>
      </c>
      <c r="G65" s="37"/>
      <c r="H65" s="37">
        <f>F65+1</f>
        <v>3</v>
      </c>
      <c r="I65" s="37"/>
      <c r="J65" s="37">
        <f>H65+1</f>
        <v>4</v>
      </c>
      <c r="K65" s="37"/>
      <c r="L65" s="37">
        <f>J65+1</f>
        <v>5</v>
      </c>
      <c r="M65" s="37"/>
      <c r="N65" s="37"/>
      <c r="O65" s="22"/>
      <c r="P65" s="22"/>
      <c r="Q65" s="22"/>
      <c r="R65" s="22"/>
      <c r="S65" s="22"/>
    </row>
    <row r="66" spans="1:19">
      <c r="A66" s="4" t="s">
        <v>74</v>
      </c>
      <c r="B66" s="22"/>
      <c r="C66" s="80">
        <f>-J9</f>
        <v>-1407600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22" t="s">
        <v>71</v>
      </c>
      <c r="B67" s="22"/>
      <c r="C67" s="22"/>
      <c r="D67" s="71">
        <f>D60</f>
        <v>55176.881997118675</v>
      </c>
      <c r="E67" s="22"/>
      <c r="F67" s="71">
        <f>F60</f>
        <v>59092.542397118697</v>
      </c>
      <c r="G67" s="22"/>
      <c r="H67" s="71">
        <f>H60</f>
        <v>68024.917953118653</v>
      </c>
      <c r="I67" s="22"/>
      <c r="J67" s="71">
        <f>J60</f>
        <v>74491.690855798719</v>
      </c>
      <c r="K67" s="22"/>
      <c r="L67" s="71">
        <f>L60</f>
        <v>81155.960986669117</v>
      </c>
      <c r="M67" s="22"/>
      <c r="N67" s="71"/>
      <c r="O67" s="22"/>
      <c r="P67" s="22"/>
      <c r="Q67" s="22"/>
      <c r="R67" s="22"/>
      <c r="S67" s="22"/>
    </row>
    <row r="68" spans="1:19">
      <c r="A68" s="22" t="s">
        <v>75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71">
        <f>N57/M2</f>
        <v>3892018.8128356566</v>
      </c>
      <c r="M68" s="22"/>
      <c r="N68" s="22"/>
      <c r="O68" s="22"/>
      <c r="P68" s="22"/>
      <c r="Q68" s="22"/>
      <c r="R68" s="22"/>
      <c r="S68" s="22"/>
    </row>
    <row r="69" spans="1:19">
      <c r="A69" s="22" t="s">
        <v>59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0">
        <f>-M8*L68</f>
        <v>-204330.98767387198</v>
      </c>
      <c r="M69" s="22"/>
      <c r="N69" s="22"/>
      <c r="O69" s="22"/>
      <c r="P69" s="22"/>
      <c r="Q69" s="22"/>
      <c r="R69" s="22"/>
      <c r="S69" s="22"/>
    </row>
    <row r="70" spans="1:19">
      <c r="A70" s="4" t="s">
        <v>76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83">
        <f>L62</f>
        <v>-1989845.2889940322</v>
      </c>
      <c r="M70" s="22"/>
      <c r="N70" s="22"/>
      <c r="O70" s="22"/>
      <c r="P70" s="22"/>
      <c r="Q70" s="22"/>
      <c r="R70" s="22"/>
      <c r="S70" s="22"/>
    </row>
    <row r="71" spans="1:19">
      <c r="A71" s="22" t="s">
        <v>78</v>
      </c>
      <c r="B71" s="22"/>
      <c r="C71" s="80">
        <f>SUM(C$66:C$70)</f>
        <v>-1407600</v>
      </c>
      <c r="D71" s="80">
        <f>SUM(D$66:D$70)</f>
        <v>55176.881997118675</v>
      </c>
      <c r="E71" s="80"/>
      <c r="F71" s="80">
        <f t="shared" ref="F71:J71" si="23">SUM(F$66:F$70)</f>
        <v>59092.542397118697</v>
      </c>
      <c r="G71" s="80"/>
      <c r="H71" s="80">
        <f t="shared" si="23"/>
        <v>68024.917953118653</v>
      </c>
      <c r="I71" s="80"/>
      <c r="J71" s="80">
        <f t="shared" si="23"/>
        <v>74491.690855798719</v>
      </c>
      <c r="K71" s="80"/>
      <c r="L71" s="80">
        <f>SUM(L$66:L$70)</f>
        <v>1778998.4971544214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22</v>
      </c>
      <c r="B72" s="1"/>
      <c r="C72" s="1"/>
      <c r="D72" s="89">
        <f>-D$67/$C$71</f>
        <v>3.9199262572548077E-2</v>
      </c>
      <c r="E72" s="1"/>
      <c r="F72" s="89">
        <f>-F$67/$C$71</f>
        <v>4.198106166319885E-2</v>
      </c>
      <c r="G72" s="1"/>
      <c r="H72" s="89">
        <f>-H$67/$C$71</f>
        <v>4.8326881182948742E-2</v>
      </c>
      <c r="I72" s="1"/>
      <c r="J72" s="89">
        <f>-J$67/$C$71</f>
        <v>5.2921064830774876E-2</v>
      </c>
      <c r="K72" s="1"/>
      <c r="L72" s="89">
        <f>-L$67/$C$71</f>
        <v>5.7655556256514008E-2</v>
      </c>
      <c r="M72" s="22"/>
      <c r="N72" s="22"/>
      <c r="O72" s="22"/>
      <c r="P72" s="22"/>
      <c r="Q72" s="22"/>
      <c r="R72" s="22"/>
      <c r="S72" s="22"/>
    </row>
    <row r="73" spans="1:19">
      <c r="A73" s="1" t="s">
        <v>79</v>
      </c>
      <c r="B73" s="1"/>
      <c r="C73" s="89">
        <f>IRR(C71:L71)</f>
        <v>8.2253691323236788E-2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11" spans="1:19">
      <c r="H111" s="54"/>
      <c r="I111" s="54"/>
    </row>
    <row r="112" spans="1:19">
      <c r="H112" s="54"/>
      <c r="I112" s="54"/>
    </row>
    <row r="113" spans="8:9">
      <c r="H113" s="54"/>
      <c r="I113" s="54"/>
    </row>
    <row r="114" spans="8:9">
      <c r="H114" s="54"/>
      <c r="I114" s="54"/>
    </row>
    <row r="115" spans="8:9">
      <c r="H115" s="54"/>
      <c r="I115" s="54"/>
    </row>
    <row r="116" spans="8:9">
      <c r="H116" s="54"/>
      <c r="I116" s="54"/>
    </row>
    <row r="117" spans="8:9">
      <c r="H117" s="54"/>
      <c r="I117" s="54"/>
    </row>
    <row r="118" spans="8:9">
      <c r="H118" s="54"/>
      <c r="I118" s="54"/>
    </row>
    <row r="119" spans="8:9">
      <c r="H119" s="54"/>
      <c r="I119" s="54"/>
    </row>
  </sheetData>
  <mergeCells count="29">
    <mergeCell ref="N19:N20"/>
    <mergeCell ref="I19:I20"/>
    <mergeCell ref="A19:A20"/>
    <mergeCell ref="B19:B20"/>
    <mergeCell ref="L19:L20"/>
    <mergeCell ref="J19:J20"/>
    <mergeCell ref="K19:K20"/>
    <mergeCell ref="M19:M20"/>
    <mergeCell ref="A1:B1"/>
    <mergeCell ref="C19:C20"/>
    <mergeCell ref="D19:D20"/>
    <mergeCell ref="E19:E20"/>
    <mergeCell ref="H19:H20"/>
    <mergeCell ref="F19:F20"/>
    <mergeCell ref="D1:F1"/>
    <mergeCell ref="H1:J1"/>
    <mergeCell ref="D4:E4"/>
    <mergeCell ref="D5:E5"/>
    <mergeCell ref="D6:E6"/>
    <mergeCell ref="D7:E7"/>
    <mergeCell ref="H5:I5"/>
    <mergeCell ref="H6:I6"/>
    <mergeCell ref="H7:I7"/>
    <mergeCell ref="I18:N18"/>
    <mergeCell ref="H2:I2"/>
    <mergeCell ref="H9:I9"/>
    <mergeCell ref="L1:M1"/>
    <mergeCell ref="G19:G20"/>
    <mergeCell ref="D8:E8"/>
  </mergeCells>
  <pageMargins left="0.75" right="0.75" top="1" bottom="1" header="0.5" footer="0.5"/>
  <pageSetup orientation="portrait" horizontalDpi="4294967292" verticalDpi="4294967292" r:id="rId1"/>
  <ignoredErrors>
    <ignoredError sqref="L52:L53 L47:L50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 Roll</vt:lpstr>
      <vt:lpstr>Financial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Jianhua (GE Healthcare)</dc:creator>
  <cp:lastModifiedBy>Administrator</cp:lastModifiedBy>
  <dcterms:created xsi:type="dcterms:W3CDTF">2019-06-10T18:32:57Z</dcterms:created>
  <dcterms:modified xsi:type="dcterms:W3CDTF">2020-06-22T22:00:23Z</dcterms:modified>
</cp:coreProperties>
</file>