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ywu3/Documents/wuyi/dichanxuetang/公寓二阶4期/"/>
    </mc:Choice>
  </mc:AlternateContent>
  <xr:revisionPtr revIDLastSave="0" documentId="8_{8BD98C87-7EBF-6E45-89F7-125D4D6D6E21}" xr6:coauthVersionLast="45" xr6:coauthVersionMax="45" xr10:uidLastSave="{00000000-0000-0000-0000-000000000000}"/>
  <bookViews>
    <workbookView xWindow="0" yWindow="460" windowWidth="35840" windowHeight="21060" tabRatio="764" activeTab="13" xr2:uid="{00000000-000D-0000-FFFF-FFFF00000000}"/>
  </bookViews>
  <sheets>
    <sheet name="Rent Roll" sheetId="10" r:id="rId1"/>
    <sheet name="Financial Summary" sheetId="6" r:id="rId2"/>
    <sheet name="Week 2 第二题" sheetId="11" r:id="rId3"/>
    <sheet name="Week 2 第三题" sheetId="12" r:id="rId4"/>
    <sheet name="Week 2 第四题" sheetId="13" r:id="rId5"/>
    <sheet name="Week 2 第五题 1" sheetId="16" r:id="rId6"/>
    <sheet name="Week 2 第五题 2" sheetId="17" r:id="rId7"/>
    <sheet name="Week 2 第五题 3" sheetId="18" r:id="rId8"/>
    <sheet name="Week 2 第六题" sheetId="15" r:id="rId9"/>
    <sheet name="Week 3 1-1" sheetId="22" r:id="rId10"/>
    <sheet name="Week 3 1-2" sheetId="23" r:id="rId11"/>
    <sheet name="Week 3 1-3" sheetId="24" r:id="rId12"/>
    <sheet name="Week 3 2" sheetId="25" r:id="rId13"/>
    <sheet name="Week 3 3" sheetId="26" r:id="rId14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26" l="1"/>
  <c r="D16" i="25"/>
  <c r="D15" i="25"/>
  <c r="F38" i="15"/>
  <c r="H38" i="15" s="1"/>
  <c r="J38" i="15" s="1"/>
  <c r="L38" i="15" s="1"/>
  <c r="N38" i="15" s="1"/>
  <c r="J8" i="18"/>
  <c r="J8" i="16"/>
  <c r="F44" i="11" l="1"/>
  <c r="D15" i="26" l="1"/>
  <c r="D14" i="26"/>
  <c r="D13" i="26"/>
  <c r="D12" i="26"/>
  <c r="C24" i="26" l="1"/>
  <c r="C6" i="26"/>
  <c r="C5" i="26"/>
  <c r="C7" i="26" s="1"/>
  <c r="C11" i="25"/>
  <c r="C9" i="25"/>
  <c r="C10" i="25"/>
  <c r="C6" i="25"/>
  <c r="C5" i="25"/>
  <c r="C4" i="25"/>
  <c r="C3" i="25"/>
  <c r="C7" i="25"/>
  <c r="C8" i="25"/>
  <c r="C12" i="25"/>
  <c r="I5" i="24"/>
  <c r="J5" i="24" s="1"/>
  <c r="E5" i="24"/>
  <c r="F5" i="24" s="1"/>
  <c r="K6" i="24"/>
  <c r="I6" i="24"/>
  <c r="J6" i="24" s="1"/>
  <c r="G6" i="24"/>
  <c r="E6" i="24"/>
  <c r="F6" i="24" s="1"/>
  <c r="K5" i="24"/>
  <c r="J8" i="17"/>
  <c r="F64" i="18"/>
  <c r="H64" i="18" s="1"/>
  <c r="J64" i="18" s="1"/>
  <c r="L64" i="18" s="1"/>
  <c r="D53" i="18"/>
  <c r="F53" i="18" s="1"/>
  <c r="H53" i="18" s="1"/>
  <c r="J53" i="18" s="1"/>
  <c r="F50" i="18"/>
  <c r="H50" i="18" s="1"/>
  <c r="J50" i="18" s="1"/>
  <c r="H49" i="18"/>
  <c r="J49" i="18" s="1"/>
  <c r="L49" i="18" s="1"/>
  <c r="F49" i="18"/>
  <c r="F48" i="18"/>
  <c r="F47" i="18"/>
  <c r="H47" i="18" s="1"/>
  <c r="F46" i="18"/>
  <c r="H46" i="18" s="1"/>
  <c r="H45" i="18"/>
  <c r="J45" i="18" s="1"/>
  <c r="L45" i="18" s="1"/>
  <c r="F45" i="18"/>
  <c r="F44" i="18"/>
  <c r="F35" i="18"/>
  <c r="H35" i="18" s="1"/>
  <c r="J35" i="18" s="1"/>
  <c r="L35" i="18" s="1"/>
  <c r="N35" i="18" s="1"/>
  <c r="F34" i="18"/>
  <c r="H34" i="18" s="1"/>
  <c r="J34" i="18" s="1"/>
  <c r="L34" i="18" s="1"/>
  <c r="N34" i="18" s="1"/>
  <c r="F31" i="18"/>
  <c r="D23" i="18"/>
  <c r="A23" i="18"/>
  <c r="L22" i="18"/>
  <c r="J22" i="18"/>
  <c r="K22" i="18" s="1"/>
  <c r="H22" i="18"/>
  <c r="G22" i="18"/>
  <c r="F22" i="18"/>
  <c r="C22" i="18"/>
  <c r="C23" i="18" s="1"/>
  <c r="L21" i="18"/>
  <c r="J21" i="18"/>
  <c r="K21" i="18" s="1"/>
  <c r="F21" i="18"/>
  <c r="G21" i="18" s="1"/>
  <c r="C21" i="18"/>
  <c r="B13" i="18"/>
  <c r="B12" i="18"/>
  <c r="M8" i="18"/>
  <c r="B8" i="18"/>
  <c r="F7" i="18"/>
  <c r="D61" i="18" s="1"/>
  <c r="J4" i="18"/>
  <c r="J3" i="18"/>
  <c r="F3" i="18"/>
  <c r="J2" i="18" s="1"/>
  <c r="J9" i="18" s="1"/>
  <c r="C65" i="18" s="1"/>
  <c r="C70" i="18" s="1"/>
  <c r="E3" i="18"/>
  <c r="E2" i="18"/>
  <c r="F64" i="17"/>
  <c r="H64" i="17" s="1"/>
  <c r="J64" i="17" s="1"/>
  <c r="L64" i="17" s="1"/>
  <c r="D53" i="17"/>
  <c r="F53" i="17" s="1"/>
  <c r="F50" i="17"/>
  <c r="H50" i="17" s="1"/>
  <c r="J50" i="17" s="1"/>
  <c r="F49" i="17"/>
  <c r="H49" i="17" s="1"/>
  <c r="F48" i="17"/>
  <c r="F47" i="17"/>
  <c r="H47" i="17" s="1"/>
  <c r="F46" i="17"/>
  <c r="H46" i="17" s="1"/>
  <c r="F45" i="17"/>
  <c r="H45" i="17" s="1"/>
  <c r="F44" i="17"/>
  <c r="F35" i="17"/>
  <c r="H35" i="17" s="1"/>
  <c r="J35" i="17" s="1"/>
  <c r="L35" i="17" s="1"/>
  <c r="N35" i="17" s="1"/>
  <c r="F34" i="17"/>
  <c r="H34" i="17" s="1"/>
  <c r="J34" i="17" s="1"/>
  <c r="L34" i="17" s="1"/>
  <c r="N34" i="17" s="1"/>
  <c r="F31" i="17"/>
  <c r="D23" i="17"/>
  <c r="A23" i="17"/>
  <c r="L22" i="17"/>
  <c r="J22" i="17"/>
  <c r="K22" i="17" s="1"/>
  <c r="H22" i="17"/>
  <c r="F22" i="17"/>
  <c r="G22" i="17" s="1"/>
  <c r="C22" i="17"/>
  <c r="L21" i="17"/>
  <c r="J21" i="17"/>
  <c r="K21" i="17" s="1"/>
  <c r="G21" i="17"/>
  <c r="F21" i="17"/>
  <c r="H21" i="17" s="1"/>
  <c r="C21" i="17"/>
  <c r="B13" i="17"/>
  <c r="B12" i="17"/>
  <c r="M8" i="17"/>
  <c r="B8" i="17"/>
  <c r="F7" i="17"/>
  <c r="D61" i="17" s="1"/>
  <c r="J4" i="17"/>
  <c r="J3" i="17"/>
  <c r="F3" i="17"/>
  <c r="E3" i="17" s="1"/>
  <c r="E2" i="17"/>
  <c r="F64" i="16"/>
  <c r="H64" i="16" s="1"/>
  <c r="J64" i="16" s="1"/>
  <c r="L64" i="16" s="1"/>
  <c r="D53" i="16"/>
  <c r="F53" i="16" s="1"/>
  <c r="F50" i="16"/>
  <c r="H50" i="16" s="1"/>
  <c r="F49" i="16"/>
  <c r="H49" i="16" s="1"/>
  <c r="F48" i="16"/>
  <c r="H48" i="16" s="1"/>
  <c r="F47" i="16"/>
  <c r="H47" i="16" s="1"/>
  <c r="F46" i="16"/>
  <c r="H46" i="16" s="1"/>
  <c r="F45" i="16"/>
  <c r="H45" i="16" s="1"/>
  <c r="F44" i="16"/>
  <c r="F35" i="16"/>
  <c r="H35" i="16" s="1"/>
  <c r="J35" i="16" s="1"/>
  <c r="L35" i="16" s="1"/>
  <c r="N35" i="16" s="1"/>
  <c r="F34" i="16"/>
  <c r="H34" i="16" s="1"/>
  <c r="J34" i="16" s="1"/>
  <c r="L34" i="16" s="1"/>
  <c r="N34" i="16" s="1"/>
  <c r="F31" i="16"/>
  <c r="D23" i="16"/>
  <c r="A23" i="16"/>
  <c r="L22" i="16"/>
  <c r="J22" i="16"/>
  <c r="K22" i="16" s="1"/>
  <c r="H22" i="16"/>
  <c r="F22" i="16"/>
  <c r="G22" i="16" s="1"/>
  <c r="C22" i="16"/>
  <c r="L21" i="16"/>
  <c r="J21" i="16"/>
  <c r="K21" i="16" s="1"/>
  <c r="F21" i="16"/>
  <c r="H21" i="16" s="1"/>
  <c r="C21" i="16"/>
  <c r="B13" i="16"/>
  <c r="B12" i="16"/>
  <c r="M8" i="16"/>
  <c r="B8" i="16"/>
  <c r="F7" i="16"/>
  <c r="D61" i="16" s="1"/>
  <c r="J4" i="16"/>
  <c r="J3" i="16"/>
  <c r="F3" i="16"/>
  <c r="E3" i="16" s="1"/>
  <c r="E2" i="16"/>
  <c r="F64" i="15"/>
  <c r="H64" i="15" s="1"/>
  <c r="J64" i="15" s="1"/>
  <c r="L64" i="15" s="1"/>
  <c r="D53" i="15"/>
  <c r="F53" i="15" s="1"/>
  <c r="F50" i="15"/>
  <c r="H50" i="15" s="1"/>
  <c r="J50" i="15" s="1"/>
  <c r="F49" i="15"/>
  <c r="H49" i="15" s="1"/>
  <c r="J49" i="15" s="1"/>
  <c r="F48" i="15"/>
  <c r="H48" i="15" s="1"/>
  <c r="F47" i="15"/>
  <c r="H47" i="15" s="1"/>
  <c r="F46" i="15"/>
  <c r="H46" i="15" s="1"/>
  <c r="F45" i="15"/>
  <c r="H45" i="15" s="1"/>
  <c r="J45" i="15" s="1"/>
  <c r="L45" i="15" s="1"/>
  <c r="F44" i="15"/>
  <c r="F35" i="15"/>
  <c r="H35" i="15" s="1"/>
  <c r="J35" i="15" s="1"/>
  <c r="L35" i="15" s="1"/>
  <c r="N35" i="15" s="1"/>
  <c r="F34" i="15"/>
  <c r="H34" i="15" s="1"/>
  <c r="J34" i="15" s="1"/>
  <c r="L34" i="15" s="1"/>
  <c r="N34" i="15" s="1"/>
  <c r="F31" i="15"/>
  <c r="D23" i="15"/>
  <c r="C23" i="15"/>
  <c r="A23" i="15"/>
  <c r="L22" i="15"/>
  <c r="J22" i="15"/>
  <c r="K22" i="15" s="1"/>
  <c r="H22" i="15"/>
  <c r="F22" i="15"/>
  <c r="G22" i="15" s="1"/>
  <c r="C22" i="15"/>
  <c r="L21" i="15"/>
  <c r="J21" i="15"/>
  <c r="K21" i="15" s="1"/>
  <c r="F21" i="15"/>
  <c r="G21" i="15" s="1"/>
  <c r="C21" i="15"/>
  <c r="B13" i="15"/>
  <c r="B12" i="15"/>
  <c r="M8" i="15"/>
  <c r="J8" i="15"/>
  <c r="B8" i="15"/>
  <c r="F7" i="15"/>
  <c r="D61" i="15" s="1"/>
  <c r="J4" i="15"/>
  <c r="J3" i="15"/>
  <c r="F3" i="15"/>
  <c r="E3" i="15" s="1"/>
  <c r="J2" i="15"/>
  <c r="E2" i="15"/>
  <c r="F64" i="13"/>
  <c r="H64" i="13" s="1"/>
  <c r="J64" i="13" s="1"/>
  <c r="L64" i="13" s="1"/>
  <c r="N64" i="13" s="1"/>
  <c r="P64" i="13" s="1"/>
  <c r="D53" i="13"/>
  <c r="F53" i="13" s="1"/>
  <c r="F50" i="13"/>
  <c r="H50" i="13" s="1"/>
  <c r="J50" i="13" s="1"/>
  <c r="F49" i="13"/>
  <c r="H49" i="13" s="1"/>
  <c r="J49" i="13" s="1"/>
  <c r="F48" i="13"/>
  <c r="H48" i="13" s="1"/>
  <c r="F47" i="13"/>
  <c r="H47" i="13" s="1"/>
  <c r="F46" i="13"/>
  <c r="H46" i="13" s="1"/>
  <c r="F45" i="13"/>
  <c r="H45" i="13" s="1"/>
  <c r="J45" i="13" s="1"/>
  <c r="L45" i="13" s="1"/>
  <c r="F44" i="13"/>
  <c r="F35" i="13"/>
  <c r="H35" i="13" s="1"/>
  <c r="J35" i="13" s="1"/>
  <c r="L35" i="13" s="1"/>
  <c r="N35" i="13" s="1"/>
  <c r="P35" i="13" s="1"/>
  <c r="R35" i="13" s="1"/>
  <c r="F34" i="13"/>
  <c r="H34" i="13" s="1"/>
  <c r="J34" i="13" s="1"/>
  <c r="L34" i="13" s="1"/>
  <c r="N34" i="13" s="1"/>
  <c r="P34" i="13" s="1"/>
  <c r="R34" i="13" s="1"/>
  <c r="F31" i="13"/>
  <c r="D23" i="13"/>
  <c r="A23" i="13"/>
  <c r="L22" i="13"/>
  <c r="J22" i="13"/>
  <c r="K22" i="13" s="1"/>
  <c r="H22" i="13"/>
  <c r="F22" i="13"/>
  <c r="G22" i="13" s="1"/>
  <c r="C22" i="13"/>
  <c r="L21" i="13"/>
  <c r="J21" i="13"/>
  <c r="K21" i="13" s="1"/>
  <c r="F21" i="13"/>
  <c r="H21" i="13" s="1"/>
  <c r="C21" i="13"/>
  <c r="B13" i="13"/>
  <c r="B12" i="13"/>
  <c r="M8" i="13"/>
  <c r="J8" i="13"/>
  <c r="B8" i="13"/>
  <c r="F7" i="13"/>
  <c r="D61" i="13" s="1"/>
  <c r="J4" i="13"/>
  <c r="J3" i="13"/>
  <c r="F3" i="13"/>
  <c r="E3" i="13" s="1"/>
  <c r="J2" i="13"/>
  <c r="E2" i="13"/>
  <c r="F64" i="12"/>
  <c r="H64" i="12" s="1"/>
  <c r="J64" i="12" s="1"/>
  <c r="L64" i="12" s="1"/>
  <c r="D53" i="12"/>
  <c r="F53" i="12" s="1"/>
  <c r="F50" i="12"/>
  <c r="H50" i="12" s="1"/>
  <c r="J50" i="12" s="1"/>
  <c r="F49" i="12"/>
  <c r="H49" i="12" s="1"/>
  <c r="J49" i="12" s="1"/>
  <c r="L49" i="12" s="1"/>
  <c r="F48" i="12"/>
  <c r="H48" i="12" s="1"/>
  <c r="F47" i="12"/>
  <c r="H47" i="12" s="1"/>
  <c r="F46" i="12"/>
  <c r="H46" i="12" s="1"/>
  <c r="F45" i="12"/>
  <c r="H45" i="12" s="1"/>
  <c r="J45" i="12" s="1"/>
  <c r="L45" i="12" s="1"/>
  <c r="F44" i="12"/>
  <c r="F35" i="12"/>
  <c r="H35" i="12" s="1"/>
  <c r="J35" i="12" s="1"/>
  <c r="L35" i="12" s="1"/>
  <c r="N35" i="12" s="1"/>
  <c r="F34" i="12"/>
  <c r="H34" i="12" s="1"/>
  <c r="J34" i="12" s="1"/>
  <c r="L34" i="12" s="1"/>
  <c r="N34" i="12" s="1"/>
  <c r="F31" i="12"/>
  <c r="H31" i="12" s="1"/>
  <c r="D23" i="12"/>
  <c r="A23" i="12"/>
  <c r="L22" i="12"/>
  <c r="J22" i="12"/>
  <c r="K22" i="12" s="1"/>
  <c r="H22" i="12"/>
  <c r="G22" i="12"/>
  <c r="F22" i="12"/>
  <c r="C22" i="12"/>
  <c r="C23" i="12" s="1"/>
  <c r="L21" i="12"/>
  <c r="J21" i="12"/>
  <c r="K21" i="12" s="1"/>
  <c r="F21" i="12"/>
  <c r="H21" i="12" s="1"/>
  <c r="C21" i="12"/>
  <c r="B13" i="12"/>
  <c r="B12" i="12"/>
  <c r="M8" i="12"/>
  <c r="J8" i="12"/>
  <c r="B8" i="12"/>
  <c r="F7" i="12"/>
  <c r="D61" i="12" s="1"/>
  <c r="J4" i="12"/>
  <c r="J3" i="12"/>
  <c r="F3" i="12"/>
  <c r="E3" i="12" s="1"/>
  <c r="E2" i="12"/>
  <c r="F64" i="11"/>
  <c r="H64" i="11" s="1"/>
  <c r="J64" i="11" s="1"/>
  <c r="L64" i="11" s="1"/>
  <c r="D53" i="11"/>
  <c r="F53" i="11" s="1"/>
  <c r="F50" i="11"/>
  <c r="H50" i="11" s="1"/>
  <c r="F49" i="11"/>
  <c r="F48" i="11"/>
  <c r="H48" i="11" s="1"/>
  <c r="F47" i="11"/>
  <c r="H47" i="11" s="1"/>
  <c r="J47" i="11" s="1"/>
  <c r="F46" i="11"/>
  <c r="H46" i="11" s="1"/>
  <c r="F45" i="11"/>
  <c r="H44" i="11"/>
  <c r="F35" i="11"/>
  <c r="H35" i="11" s="1"/>
  <c r="J35" i="11" s="1"/>
  <c r="L35" i="11" s="1"/>
  <c r="N35" i="11" s="1"/>
  <c r="F34" i="11"/>
  <c r="H34" i="11" s="1"/>
  <c r="J34" i="11" s="1"/>
  <c r="L34" i="11" s="1"/>
  <c r="N34" i="11" s="1"/>
  <c r="F31" i="11"/>
  <c r="H31" i="11" s="1"/>
  <c r="D23" i="11"/>
  <c r="A23" i="11"/>
  <c r="L22" i="11"/>
  <c r="J22" i="11"/>
  <c r="K22" i="11" s="1"/>
  <c r="H22" i="11"/>
  <c r="F22" i="11"/>
  <c r="G22" i="11" s="1"/>
  <c r="C22" i="11"/>
  <c r="L21" i="11"/>
  <c r="J21" i="11"/>
  <c r="K21" i="11" s="1"/>
  <c r="F21" i="11"/>
  <c r="H21" i="11" s="1"/>
  <c r="C21" i="11"/>
  <c r="B13" i="11"/>
  <c r="B12" i="11"/>
  <c r="M8" i="11"/>
  <c r="J8" i="11"/>
  <c r="B8" i="11"/>
  <c r="F7" i="11"/>
  <c r="D61" i="11" s="1"/>
  <c r="J4" i="11"/>
  <c r="J3" i="11"/>
  <c r="F3" i="11"/>
  <c r="E3" i="11" s="1"/>
  <c r="E2" i="11"/>
  <c r="G21" i="12" l="1"/>
  <c r="L5" i="24"/>
  <c r="C23" i="17"/>
  <c r="C23" i="16"/>
  <c r="M21" i="17"/>
  <c r="N21" i="17" s="1"/>
  <c r="L6" i="24"/>
  <c r="M22" i="11"/>
  <c r="N22" i="11" s="1"/>
  <c r="G21" i="16"/>
  <c r="M22" i="16"/>
  <c r="N22" i="16" s="1"/>
  <c r="D58" i="17"/>
  <c r="F58" i="17" s="1"/>
  <c r="J58" i="17" s="1"/>
  <c r="H61" i="11"/>
  <c r="M21" i="12"/>
  <c r="N21" i="12" s="1"/>
  <c r="D58" i="15"/>
  <c r="F58" i="15" s="1"/>
  <c r="J58" i="15" s="1"/>
  <c r="H21" i="18"/>
  <c r="F61" i="15"/>
  <c r="M21" i="16"/>
  <c r="N21" i="16" s="1"/>
  <c r="F61" i="17"/>
  <c r="M21" i="18"/>
  <c r="N21" i="18" s="1"/>
  <c r="F61" i="11"/>
  <c r="M22" i="12"/>
  <c r="N22" i="12" s="1"/>
  <c r="J2" i="12"/>
  <c r="J9" i="12" s="1"/>
  <c r="C65" i="12" s="1"/>
  <c r="C70" i="12" s="1"/>
  <c r="J2" i="17"/>
  <c r="J9" i="15"/>
  <c r="C65" i="15" s="1"/>
  <c r="C70" i="15" s="1"/>
  <c r="M22" i="15"/>
  <c r="N22" i="15" s="1"/>
  <c r="D58" i="18"/>
  <c r="H21" i="15"/>
  <c r="D58" i="12"/>
  <c r="F58" i="12" s="1"/>
  <c r="J58" i="12" s="1"/>
  <c r="J9" i="17"/>
  <c r="C65" i="17" s="1"/>
  <c r="C70" i="17" s="1"/>
  <c r="M22" i="17"/>
  <c r="N22" i="17" s="1"/>
  <c r="M5" i="24"/>
  <c r="M6" i="24"/>
  <c r="G5" i="24"/>
  <c r="D58" i="16"/>
  <c r="H58" i="16" s="1"/>
  <c r="L58" i="16" s="1"/>
  <c r="J2" i="16"/>
  <c r="J9" i="16" s="1"/>
  <c r="C65" i="16" s="1"/>
  <c r="C70" i="16" s="1"/>
  <c r="F61" i="16"/>
  <c r="N45" i="18"/>
  <c r="N49" i="18"/>
  <c r="F61" i="18"/>
  <c r="H31" i="18"/>
  <c r="J47" i="18"/>
  <c r="H44" i="18"/>
  <c r="J46" i="18"/>
  <c r="L50" i="18"/>
  <c r="M22" i="18"/>
  <c r="N22" i="18" s="1"/>
  <c r="H48" i="18"/>
  <c r="L53" i="18"/>
  <c r="H58" i="18"/>
  <c r="L58" i="18" s="1"/>
  <c r="F58" i="18"/>
  <c r="J58" i="18" s="1"/>
  <c r="J47" i="17"/>
  <c r="J49" i="17"/>
  <c r="L50" i="17"/>
  <c r="J45" i="17"/>
  <c r="H53" i="17"/>
  <c r="H31" i="17"/>
  <c r="H44" i="17"/>
  <c r="H48" i="17"/>
  <c r="J46" i="17"/>
  <c r="H53" i="16"/>
  <c r="J45" i="16"/>
  <c r="J47" i="16"/>
  <c r="J48" i="16"/>
  <c r="J49" i="16"/>
  <c r="J46" i="16"/>
  <c r="H31" i="16"/>
  <c r="H44" i="16"/>
  <c r="J50" i="16"/>
  <c r="M21" i="15"/>
  <c r="N21" i="15" s="1"/>
  <c r="H53" i="15"/>
  <c r="N45" i="15"/>
  <c r="J47" i="15"/>
  <c r="L50" i="15"/>
  <c r="J48" i="15"/>
  <c r="J46" i="15"/>
  <c r="H31" i="15"/>
  <c r="H44" i="15"/>
  <c r="L49" i="15"/>
  <c r="C23" i="13"/>
  <c r="G21" i="13"/>
  <c r="M21" i="13" s="1"/>
  <c r="N21" i="13" s="1"/>
  <c r="J9" i="13"/>
  <c r="C65" i="13" s="1"/>
  <c r="C70" i="13" s="1"/>
  <c r="M22" i="13"/>
  <c r="N22" i="13" s="1"/>
  <c r="F61" i="13"/>
  <c r="D58" i="13"/>
  <c r="F58" i="13" s="1"/>
  <c r="J58" i="13" s="1"/>
  <c r="N58" i="13" s="1"/>
  <c r="N45" i="13"/>
  <c r="L50" i="13"/>
  <c r="H53" i="13"/>
  <c r="J47" i="13"/>
  <c r="J48" i="13"/>
  <c r="J46" i="13"/>
  <c r="H31" i="13"/>
  <c r="H44" i="13"/>
  <c r="L49" i="13"/>
  <c r="J47" i="12"/>
  <c r="J48" i="12"/>
  <c r="N49" i="12"/>
  <c r="N45" i="12"/>
  <c r="L50" i="12"/>
  <c r="H61" i="12"/>
  <c r="J31" i="12"/>
  <c r="H53" i="12"/>
  <c r="J46" i="12"/>
  <c r="H44" i="12"/>
  <c r="F61" i="12"/>
  <c r="J50" i="11"/>
  <c r="L47" i="11"/>
  <c r="J2" i="11"/>
  <c r="J9" i="11" s="1"/>
  <c r="C65" i="11" s="1"/>
  <c r="C70" i="11" s="1"/>
  <c r="J44" i="11"/>
  <c r="H45" i="11"/>
  <c r="J48" i="11"/>
  <c r="H53" i="11"/>
  <c r="C23" i="11"/>
  <c r="H49" i="11"/>
  <c r="J31" i="11"/>
  <c r="J46" i="11"/>
  <c r="G21" i="11"/>
  <c r="M21" i="11" s="1"/>
  <c r="N21" i="11" s="1"/>
  <c r="D58" i="11"/>
  <c r="H58" i="17" l="1"/>
  <c r="L58" i="17" s="1"/>
  <c r="H58" i="12"/>
  <c r="L58" i="12" s="1"/>
  <c r="L7" i="24"/>
  <c r="L11" i="24" s="1"/>
  <c r="H58" i="15"/>
  <c r="L58" i="15" s="1"/>
  <c r="F58" i="16"/>
  <c r="J58" i="16" s="1"/>
  <c r="J44" i="18"/>
  <c r="N53" i="18"/>
  <c r="J48" i="18"/>
  <c r="L47" i="18"/>
  <c r="N50" i="18"/>
  <c r="L46" i="18"/>
  <c r="H61" i="18"/>
  <c r="J31" i="18"/>
  <c r="L45" i="17"/>
  <c r="N50" i="17"/>
  <c r="J53" i="17"/>
  <c r="L46" i="17"/>
  <c r="L49" i="17"/>
  <c r="J48" i="17"/>
  <c r="J44" i="17"/>
  <c r="H61" i="17"/>
  <c r="J31" i="17"/>
  <c r="L47" i="17"/>
  <c r="L48" i="16"/>
  <c r="H61" i="16"/>
  <c r="J31" i="16"/>
  <c r="L46" i="16"/>
  <c r="L50" i="16"/>
  <c r="J53" i="16"/>
  <c r="L45" i="16"/>
  <c r="L49" i="16"/>
  <c r="L47" i="16"/>
  <c r="J44" i="16"/>
  <c r="L48" i="15"/>
  <c r="L47" i="15"/>
  <c r="J53" i="15"/>
  <c r="J44" i="15"/>
  <c r="H61" i="15"/>
  <c r="J31" i="15"/>
  <c r="N50" i="15"/>
  <c r="L46" i="15"/>
  <c r="N49" i="15"/>
  <c r="H58" i="13"/>
  <c r="L58" i="13" s="1"/>
  <c r="P58" i="13" s="1"/>
  <c r="P45" i="13"/>
  <c r="L48" i="13"/>
  <c r="H61" i="13"/>
  <c r="J31" i="13"/>
  <c r="L46" i="13"/>
  <c r="L47" i="13"/>
  <c r="N49" i="13"/>
  <c r="J53" i="13"/>
  <c r="J44" i="13"/>
  <c r="N50" i="13"/>
  <c r="L46" i="12"/>
  <c r="N50" i="12"/>
  <c r="L47" i="12"/>
  <c r="J53" i="12"/>
  <c r="L48" i="12"/>
  <c r="J44" i="12"/>
  <c r="J61" i="12"/>
  <c r="L31" i="12"/>
  <c r="L44" i="11"/>
  <c r="L50" i="11"/>
  <c r="J53" i="11"/>
  <c r="H58" i="11"/>
  <c r="L58" i="11" s="1"/>
  <c r="F58" i="11"/>
  <c r="J58" i="11" s="1"/>
  <c r="L46" i="11"/>
  <c r="L48" i="11"/>
  <c r="N47" i="11"/>
  <c r="J61" i="11"/>
  <c r="L31" i="11"/>
  <c r="J45" i="11"/>
  <c r="J49" i="11"/>
  <c r="F44" i="6"/>
  <c r="H44" i="6"/>
  <c r="J44" i="6" s="1"/>
  <c r="L44" i="6" s="1"/>
  <c r="N44" i="6" s="1"/>
  <c r="F49" i="6"/>
  <c r="H49" i="6" s="1"/>
  <c r="F47" i="6"/>
  <c r="F46" i="6"/>
  <c r="F45" i="6"/>
  <c r="M8" i="6"/>
  <c r="J3" i="6"/>
  <c r="J21" i="6"/>
  <c r="K21" i="6" s="1"/>
  <c r="G32" i="10"/>
  <c r="D32" i="10"/>
  <c r="F22" i="6"/>
  <c r="F21" i="6"/>
  <c r="J23" i="17" l="1"/>
  <c r="J23" i="15"/>
  <c r="J23" i="11"/>
  <c r="J23" i="12"/>
  <c r="J23" i="13"/>
  <c r="J23" i="18"/>
  <c r="J23" i="16"/>
  <c r="F23" i="6"/>
  <c r="F23" i="13"/>
  <c r="F23" i="18"/>
  <c r="F23" i="16"/>
  <c r="F23" i="12"/>
  <c r="F23" i="17"/>
  <c r="F23" i="15"/>
  <c r="F23" i="11"/>
  <c r="J61" i="18"/>
  <c r="L31" i="18"/>
  <c r="N47" i="18"/>
  <c r="L44" i="18"/>
  <c r="N46" i="18"/>
  <c r="L48" i="18"/>
  <c r="L44" i="17"/>
  <c r="L53" i="17"/>
  <c r="L48" i="17"/>
  <c r="N47" i="17"/>
  <c r="J61" i="17"/>
  <c r="L31" i="17"/>
  <c r="N49" i="17"/>
  <c r="N46" i="17"/>
  <c r="N45" i="17"/>
  <c r="N50" i="16"/>
  <c r="J61" i="16"/>
  <c r="L31" i="16"/>
  <c r="N45" i="16"/>
  <c r="N46" i="16"/>
  <c r="L53" i="16"/>
  <c r="N48" i="16"/>
  <c r="L44" i="16"/>
  <c r="N47" i="16"/>
  <c r="N49" i="16"/>
  <c r="N47" i="15"/>
  <c r="L31" i="15"/>
  <c r="J61" i="15"/>
  <c r="L44" i="15"/>
  <c r="L53" i="15"/>
  <c r="N48" i="15"/>
  <c r="N46" i="15"/>
  <c r="P50" i="13"/>
  <c r="P49" i="13"/>
  <c r="R45" i="13"/>
  <c r="N47" i="13"/>
  <c r="L44" i="13"/>
  <c r="N46" i="13"/>
  <c r="L53" i="13"/>
  <c r="L31" i="13"/>
  <c r="J61" i="13"/>
  <c r="N48" i="13"/>
  <c r="N48" i="12"/>
  <c r="N46" i="12"/>
  <c r="L53" i="12"/>
  <c r="L61" i="12"/>
  <c r="L69" i="12" s="1"/>
  <c r="N31" i="12"/>
  <c r="N47" i="12"/>
  <c r="L44" i="12"/>
  <c r="N44" i="11"/>
  <c r="L49" i="11"/>
  <c r="L53" i="11"/>
  <c r="L45" i="11"/>
  <c r="N48" i="11"/>
  <c r="N50" i="11"/>
  <c r="L61" i="11"/>
  <c r="L69" i="11" s="1"/>
  <c r="N31" i="11"/>
  <c r="N46" i="11"/>
  <c r="J49" i="6"/>
  <c r="E4" i="10"/>
  <c r="F4" i="10"/>
  <c r="H4" i="10"/>
  <c r="I4" i="10"/>
  <c r="J4" i="10"/>
  <c r="K4" i="10"/>
  <c r="E5" i="10"/>
  <c r="F5" i="10"/>
  <c r="H5" i="10"/>
  <c r="I5" i="10"/>
  <c r="J5" i="10"/>
  <c r="K5" i="10"/>
  <c r="E6" i="10"/>
  <c r="F6" i="10"/>
  <c r="H6" i="10"/>
  <c r="I6" i="10"/>
  <c r="J6" i="10"/>
  <c r="K6" i="10"/>
  <c r="E7" i="10"/>
  <c r="F7" i="10"/>
  <c r="H7" i="10"/>
  <c r="I7" i="10"/>
  <c r="J7" i="10"/>
  <c r="K7" i="10"/>
  <c r="E8" i="10"/>
  <c r="F8" i="10"/>
  <c r="H8" i="10"/>
  <c r="I8" i="10"/>
  <c r="J8" i="10"/>
  <c r="K8" i="10"/>
  <c r="E9" i="10"/>
  <c r="F9" i="10"/>
  <c r="H9" i="10"/>
  <c r="I9" i="10"/>
  <c r="J9" i="10"/>
  <c r="K9" i="10"/>
  <c r="E10" i="10"/>
  <c r="F10" i="10"/>
  <c r="H10" i="10"/>
  <c r="I10" i="10"/>
  <c r="J10" i="10"/>
  <c r="K10" i="10"/>
  <c r="E11" i="10"/>
  <c r="F11" i="10"/>
  <c r="H11" i="10"/>
  <c r="I11" i="10"/>
  <c r="J11" i="10"/>
  <c r="K11" i="10"/>
  <c r="E12" i="10"/>
  <c r="F12" i="10"/>
  <c r="H12" i="10"/>
  <c r="I12" i="10"/>
  <c r="J12" i="10"/>
  <c r="K12" i="10"/>
  <c r="E13" i="10"/>
  <c r="F13" i="10"/>
  <c r="H13" i="10"/>
  <c r="I13" i="10"/>
  <c r="J13" i="10"/>
  <c r="K13" i="10"/>
  <c r="E14" i="10"/>
  <c r="F14" i="10"/>
  <c r="H14" i="10"/>
  <c r="I14" i="10"/>
  <c r="J14" i="10"/>
  <c r="K14" i="10"/>
  <c r="L61" i="18" l="1"/>
  <c r="L69" i="18" s="1"/>
  <c r="N31" i="18"/>
  <c r="N44" i="18"/>
  <c r="N48" i="18"/>
  <c r="N44" i="17"/>
  <c r="N48" i="17"/>
  <c r="N53" i="17"/>
  <c r="L61" i="17"/>
  <c r="L69" i="17" s="1"/>
  <c r="N31" i="17"/>
  <c r="N44" i="16"/>
  <c r="N53" i="16"/>
  <c r="L61" i="16"/>
  <c r="L69" i="16" s="1"/>
  <c r="N31" i="16"/>
  <c r="L61" i="15"/>
  <c r="L69" i="15" s="1"/>
  <c r="N31" i="15"/>
  <c r="N44" i="15"/>
  <c r="N53" i="15"/>
  <c r="P48" i="13"/>
  <c r="P46" i="13"/>
  <c r="R49" i="13"/>
  <c r="P47" i="13"/>
  <c r="R50" i="13"/>
  <c r="L61" i="13"/>
  <c r="N31" i="13"/>
  <c r="N61" i="13" s="1"/>
  <c r="N53" i="13"/>
  <c r="N44" i="13"/>
  <c r="N44" i="12"/>
  <c r="N53" i="12"/>
  <c r="N45" i="11"/>
  <c r="N53" i="11"/>
  <c r="N49" i="11"/>
  <c r="L49" i="6"/>
  <c r="F64" i="6"/>
  <c r="H64" i="6" s="1"/>
  <c r="J64" i="6" s="1"/>
  <c r="L64" i="6" s="1"/>
  <c r="B13" i="6"/>
  <c r="F3" i="6"/>
  <c r="J2" i="6" s="1"/>
  <c r="E2" i="6"/>
  <c r="J8" i="6"/>
  <c r="J4" i="6"/>
  <c r="D53" i="6"/>
  <c r="F53" i="6" s="1"/>
  <c r="H53" i="6" s="1"/>
  <c r="H22" i="6"/>
  <c r="G22" i="6"/>
  <c r="H45" i="6"/>
  <c r="J45" i="6" s="1"/>
  <c r="H46" i="6"/>
  <c r="J46" i="6" s="1"/>
  <c r="L46" i="6" s="1"/>
  <c r="N46" i="6" s="1"/>
  <c r="H47" i="6"/>
  <c r="J47" i="6" s="1"/>
  <c r="L47" i="6" s="1"/>
  <c r="F48" i="6"/>
  <c r="H48" i="6" s="1"/>
  <c r="J48" i="6" s="1"/>
  <c r="L48" i="6" s="1"/>
  <c r="N48" i="6" s="1"/>
  <c r="F50" i="6"/>
  <c r="H50" i="6" s="1"/>
  <c r="J50" i="6" s="1"/>
  <c r="L50" i="6" s="1"/>
  <c r="N50" i="6" s="1"/>
  <c r="F35" i="6"/>
  <c r="H35" i="6" s="1"/>
  <c r="J35" i="6" s="1"/>
  <c r="L35" i="6" s="1"/>
  <c r="N35" i="6" s="1"/>
  <c r="F34" i="6"/>
  <c r="H34" i="6" s="1"/>
  <c r="J34" i="6" s="1"/>
  <c r="L34" i="6" s="1"/>
  <c r="N34" i="6" s="1"/>
  <c r="J23" i="6"/>
  <c r="L22" i="6"/>
  <c r="L21" i="6"/>
  <c r="J22" i="6"/>
  <c r="K22" i="6" s="1"/>
  <c r="G21" i="6"/>
  <c r="M21" i="6" s="1"/>
  <c r="C22" i="6"/>
  <c r="C21" i="6"/>
  <c r="A23" i="6"/>
  <c r="D23" i="6"/>
  <c r="H25" i="10"/>
  <c r="H26" i="10"/>
  <c r="H27" i="10"/>
  <c r="H28" i="10"/>
  <c r="H29" i="10"/>
  <c r="H30" i="10"/>
  <c r="H31" i="10"/>
  <c r="I25" i="10"/>
  <c r="I26" i="10"/>
  <c r="I27" i="10"/>
  <c r="I28" i="10"/>
  <c r="I29" i="10"/>
  <c r="I30" i="10"/>
  <c r="I31" i="10"/>
  <c r="E31" i="10"/>
  <c r="F31" i="10"/>
  <c r="J31" i="10"/>
  <c r="K31" i="10"/>
  <c r="E30" i="10"/>
  <c r="F30" i="10"/>
  <c r="J30" i="10"/>
  <c r="K30" i="10"/>
  <c r="E29" i="10"/>
  <c r="F29" i="10"/>
  <c r="J29" i="10"/>
  <c r="K29" i="10"/>
  <c r="E28" i="10"/>
  <c r="F28" i="10"/>
  <c r="J28" i="10"/>
  <c r="K28" i="10"/>
  <c r="E27" i="10"/>
  <c r="F27" i="10"/>
  <c r="J27" i="10"/>
  <c r="K27" i="10"/>
  <c r="E26" i="10"/>
  <c r="F26" i="10"/>
  <c r="J26" i="10"/>
  <c r="K26" i="10"/>
  <c r="E25" i="10"/>
  <c r="F25" i="10"/>
  <c r="J25" i="10"/>
  <c r="K25" i="10"/>
  <c r="F31" i="6"/>
  <c r="H31" i="6" s="1"/>
  <c r="J31" i="6" s="1"/>
  <c r="L31" i="6" s="1"/>
  <c r="N31" i="6" s="1"/>
  <c r="E16" i="10"/>
  <c r="E17" i="10"/>
  <c r="E15" i="10"/>
  <c r="E18" i="10"/>
  <c r="E19" i="10"/>
  <c r="E20" i="10"/>
  <c r="E21" i="10"/>
  <c r="E22" i="10"/>
  <c r="E23" i="10"/>
  <c r="E24" i="10"/>
  <c r="H15" i="10"/>
  <c r="I15" i="10"/>
  <c r="I32" i="10" s="1"/>
  <c r="J15" i="10"/>
  <c r="K15" i="10"/>
  <c r="H16" i="10"/>
  <c r="I16" i="10"/>
  <c r="J16" i="10"/>
  <c r="K16" i="10"/>
  <c r="H17" i="10"/>
  <c r="I17" i="10"/>
  <c r="J17" i="10"/>
  <c r="K17" i="10"/>
  <c r="H18" i="10"/>
  <c r="I18" i="10"/>
  <c r="J18" i="10"/>
  <c r="K18" i="10"/>
  <c r="H19" i="10"/>
  <c r="I19" i="10"/>
  <c r="J19" i="10"/>
  <c r="K19" i="10"/>
  <c r="H20" i="10"/>
  <c r="I20" i="10"/>
  <c r="J20" i="10"/>
  <c r="K20" i="10"/>
  <c r="H21" i="10"/>
  <c r="I21" i="10"/>
  <c r="J21" i="10"/>
  <c r="K21" i="10"/>
  <c r="H22" i="10"/>
  <c r="I22" i="10"/>
  <c r="J22" i="10"/>
  <c r="K22" i="10"/>
  <c r="H23" i="10"/>
  <c r="I23" i="10"/>
  <c r="J23" i="10"/>
  <c r="K23" i="10"/>
  <c r="H24" i="10"/>
  <c r="I24" i="10"/>
  <c r="J24" i="10"/>
  <c r="K24" i="10"/>
  <c r="F15" i="10"/>
  <c r="F16" i="10"/>
  <c r="F17" i="10"/>
  <c r="F18" i="10"/>
  <c r="F19" i="10"/>
  <c r="F20" i="10"/>
  <c r="F21" i="10"/>
  <c r="F22" i="10"/>
  <c r="F23" i="10"/>
  <c r="F24" i="10"/>
  <c r="F7" i="6"/>
  <c r="H32" i="10" l="1"/>
  <c r="F32" i="10"/>
  <c r="H23" i="16" s="1"/>
  <c r="K32" i="10"/>
  <c r="E32" i="10"/>
  <c r="G23" i="12" s="1"/>
  <c r="D33" i="12" s="1"/>
  <c r="J32" i="10"/>
  <c r="M23" i="13" s="1"/>
  <c r="N23" i="13" s="1"/>
  <c r="K23" i="15"/>
  <c r="K23" i="11"/>
  <c r="K23" i="13"/>
  <c r="K23" i="12"/>
  <c r="K23" i="18"/>
  <c r="K23" i="16"/>
  <c r="K23" i="17"/>
  <c r="G23" i="18"/>
  <c r="D33" i="18" s="1"/>
  <c r="G23" i="16"/>
  <c r="D33" i="16" s="1"/>
  <c r="G23" i="17"/>
  <c r="D33" i="17" s="1"/>
  <c r="G23" i="13"/>
  <c r="D33" i="13" s="1"/>
  <c r="G23" i="15"/>
  <c r="D33" i="15" s="1"/>
  <c r="G23" i="11"/>
  <c r="D33" i="11" s="1"/>
  <c r="L23" i="15"/>
  <c r="L23" i="11"/>
  <c r="L23" i="13"/>
  <c r="L23" i="18"/>
  <c r="L23" i="16"/>
  <c r="L23" i="12"/>
  <c r="L23" i="17"/>
  <c r="H23" i="18"/>
  <c r="H23" i="12"/>
  <c r="H23" i="17"/>
  <c r="H23" i="15"/>
  <c r="H23" i="11"/>
  <c r="H23" i="13"/>
  <c r="M23" i="18"/>
  <c r="M23" i="16"/>
  <c r="M23" i="11"/>
  <c r="N23" i="11" s="1"/>
  <c r="M23" i="12"/>
  <c r="M23" i="17"/>
  <c r="M23" i="15"/>
  <c r="D58" i="6"/>
  <c r="H58" i="6" s="1"/>
  <c r="L58" i="6" s="1"/>
  <c r="G23" i="6"/>
  <c r="D33" i="6" s="1"/>
  <c r="B11" i="6" s="1"/>
  <c r="P31" i="13"/>
  <c r="P61" i="13" s="1"/>
  <c r="P69" i="13" s="1"/>
  <c r="P44" i="13"/>
  <c r="R46" i="13"/>
  <c r="R48" i="13"/>
  <c r="P53" i="13"/>
  <c r="R47" i="13"/>
  <c r="L61" i="6"/>
  <c r="L69" i="6" s="1"/>
  <c r="D61" i="6"/>
  <c r="N49" i="6"/>
  <c r="K23" i="6"/>
  <c r="M23" i="6"/>
  <c r="H23" i="6"/>
  <c r="L23" i="6"/>
  <c r="H61" i="6"/>
  <c r="F61" i="6"/>
  <c r="B12" i="6"/>
  <c r="J61" i="6"/>
  <c r="E3" i="6"/>
  <c r="J53" i="6"/>
  <c r="L45" i="6"/>
  <c r="N45" i="6" s="1"/>
  <c r="B8" i="6"/>
  <c r="C23" i="6"/>
  <c r="N21" i="6"/>
  <c r="M22" i="6"/>
  <c r="N22" i="6" s="1"/>
  <c r="H21" i="6"/>
  <c r="F58" i="6" l="1"/>
  <c r="J58" i="6" s="1"/>
  <c r="N23" i="17"/>
  <c r="N23" i="16"/>
  <c r="N23" i="6"/>
  <c r="D36" i="6"/>
  <c r="F33" i="6"/>
  <c r="D36" i="18"/>
  <c r="D39" i="18" s="1"/>
  <c r="D40" i="18" s="1"/>
  <c r="F33" i="18"/>
  <c r="B11" i="18"/>
  <c r="N23" i="18"/>
  <c r="B11" i="11"/>
  <c r="F33" i="11"/>
  <c r="D36" i="11"/>
  <c r="F33" i="15"/>
  <c r="D36" i="15"/>
  <c r="D39" i="15" s="1"/>
  <c r="D40" i="15" s="1"/>
  <c r="B11" i="15"/>
  <c r="D36" i="12"/>
  <c r="D39" i="12" s="1"/>
  <c r="D40" i="12" s="1"/>
  <c r="B11" i="12"/>
  <c r="F33" i="12"/>
  <c r="N23" i="15"/>
  <c r="D36" i="13"/>
  <c r="D39" i="13" s="1"/>
  <c r="D40" i="13" s="1"/>
  <c r="B11" i="13"/>
  <c r="F33" i="13"/>
  <c r="D36" i="17"/>
  <c r="D39" i="17" s="1"/>
  <c r="D40" i="17" s="1"/>
  <c r="F33" i="17"/>
  <c r="B11" i="17"/>
  <c r="N23" i="12"/>
  <c r="D36" i="16"/>
  <c r="F33" i="16"/>
  <c r="B11" i="16"/>
  <c r="R44" i="13"/>
  <c r="R31" i="13"/>
  <c r="R53" i="13"/>
  <c r="L53" i="6"/>
  <c r="N47" i="6"/>
  <c r="D39" i="6"/>
  <c r="H33" i="6"/>
  <c r="F36" i="6"/>
  <c r="H33" i="15" l="1"/>
  <c r="F36" i="15"/>
  <c r="F39" i="15" s="1"/>
  <c r="F40" i="15" s="1"/>
  <c r="H33" i="16"/>
  <c r="F36" i="16"/>
  <c r="D52" i="13"/>
  <c r="E44" i="13"/>
  <c r="E49" i="13"/>
  <c r="E45" i="13"/>
  <c r="D51" i="13"/>
  <c r="E48" i="13"/>
  <c r="E47" i="13"/>
  <c r="E53" i="13"/>
  <c r="E50" i="13"/>
  <c r="E46" i="13"/>
  <c r="D39" i="11"/>
  <c r="D40" i="11" s="1"/>
  <c r="D39" i="16"/>
  <c r="D40" i="16" s="1"/>
  <c r="H33" i="11"/>
  <c r="F36" i="11"/>
  <c r="D40" i="6"/>
  <c r="E46" i="6" s="1"/>
  <c r="A1" i="23"/>
  <c r="F36" i="12"/>
  <c r="F39" i="12" s="1"/>
  <c r="F40" i="12" s="1"/>
  <c r="H33" i="12"/>
  <c r="E45" i="12"/>
  <c r="D51" i="12"/>
  <c r="E44" i="12"/>
  <c r="E47" i="12"/>
  <c r="E53" i="12"/>
  <c r="E50" i="12"/>
  <c r="D52" i="12"/>
  <c r="E46" i="12"/>
  <c r="E48" i="12"/>
  <c r="E49" i="12"/>
  <c r="E49" i="17"/>
  <c r="D52" i="17"/>
  <c r="E50" i="17"/>
  <c r="E46" i="17"/>
  <c r="E48" i="17"/>
  <c r="E44" i="17"/>
  <c r="D51" i="17"/>
  <c r="E45" i="17"/>
  <c r="E47" i="17"/>
  <c r="E53" i="17"/>
  <c r="H33" i="18"/>
  <c r="F36" i="18"/>
  <c r="F39" i="18" s="1"/>
  <c r="F40" i="18" s="1"/>
  <c r="H33" i="17"/>
  <c r="F36" i="17"/>
  <c r="H33" i="13"/>
  <c r="F36" i="13"/>
  <c r="E50" i="15"/>
  <c r="E46" i="15"/>
  <c r="D52" i="15"/>
  <c r="E44" i="15"/>
  <c r="E49" i="15"/>
  <c r="E45" i="15"/>
  <c r="D51" i="15"/>
  <c r="E48" i="15"/>
  <c r="E47" i="15"/>
  <c r="E53" i="15"/>
  <c r="E45" i="18"/>
  <c r="E44" i="18"/>
  <c r="D51" i="18"/>
  <c r="D52" i="18"/>
  <c r="E47" i="18"/>
  <c r="E48" i="18"/>
  <c r="E53" i="18"/>
  <c r="E50" i="18"/>
  <c r="E46" i="18"/>
  <c r="E49" i="18"/>
  <c r="E53" i="6"/>
  <c r="E50" i="6"/>
  <c r="E49" i="6"/>
  <c r="N53" i="6"/>
  <c r="D52" i="6"/>
  <c r="A1" i="22" s="1"/>
  <c r="D51" i="6"/>
  <c r="E45" i="6"/>
  <c r="E48" i="6"/>
  <c r="E44" i="6"/>
  <c r="E47" i="6"/>
  <c r="F39" i="6"/>
  <c r="F40" i="6" s="1"/>
  <c r="J33" i="6"/>
  <c r="H36" i="6"/>
  <c r="E48" i="11" l="1"/>
  <c r="E44" i="11"/>
  <c r="E50" i="11"/>
  <c r="D51" i="11"/>
  <c r="E47" i="11"/>
  <c r="E49" i="11"/>
  <c r="E46" i="11"/>
  <c r="E45" i="11"/>
  <c r="E53" i="11"/>
  <c r="D52" i="11"/>
  <c r="F52" i="18"/>
  <c r="E52" i="18"/>
  <c r="F39" i="17"/>
  <c r="F40" i="17" s="1"/>
  <c r="H36" i="12"/>
  <c r="J33" i="12"/>
  <c r="G49" i="12"/>
  <c r="G44" i="12"/>
  <c r="G48" i="12"/>
  <c r="G50" i="12"/>
  <c r="G53" i="12"/>
  <c r="G46" i="12"/>
  <c r="G47" i="12"/>
  <c r="G45" i="12"/>
  <c r="F52" i="12"/>
  <c r="E52" i="12"/>
  <c r="G53" i="18"/>
  <c r="G47" i="18"/>
  <c r="G49" i="18"/>
  <c r="G46" i="18"/>
  <c r="G48" i="18"/>
  <c r="G44" i="18"/>
  <c r="G45" i="18"/>
  <c r="G50" i="18"/>
  <c r="F52" i="15"/>
  <c r="E52" i="15"/>
  <c r="H36" i="18"/>
  <c r="J33" i="18"/>
  <c r="F52" i="13"/>
  <c r="E52" i="13"/>
  <c r="F52" i="17"/>
  <c r="E52" i="17"/>
  <c r="F39" i="11"/>
  <c r="F40" i="11" s="1"/>
  <c r="F39" i="16"/>
  <c r="F40" i="16" s="1"/>
  <c r="J33" i="11"/>
  <c r="H36" i="11"/>
  <c r="H39" i="11" s="1"/>
  <c r="H40" i="11" s="1"/>
  <c r="H36" i="16"/>
  <c r="H39" i="16" s="1"/>
  <c r="H40" i="16" s="1"/>
  <c r="J33" i="16"/>
  <c r="H36" i="17"/>
  <c r="J33" i="17"/>
  <c r="E46" i="16"/>
  <c r="D51" i="16"/>
  <c r="E48" i="16"/>
  <c r="E47" i="16"/>
  <c r="E53" i="16"/>
  <c r="E45" i="16"/>
  <c r="E49" i="16"/>
  <c r="D52" i="16"/>
  <c r="E44" i="16"/>
  <c r="E50" i="16"/>
  <c r="G47" i="15"/>
  <c r="G48" i="15"/>
  <c r="G50" i="15"/>
  <c r="G46" i="15"/>
  <c r="G53" i="15"/>
  <c r="G49" i="15"/>
  <c r="G45" i="15"/>
  <c r="G44" i="15"/>
  <c r="D54" i="18"/>
  <c r="D56" i="18" s="1"/>
  <c r="F51" i="18"/>
  <c r="E51" i="18"/>
  <c r="E54" i="18" s="1"/>
  <c r="F39" i="13"/>
  <c r="F40" i="13" s="1"/>
  <c r="F51" i="12"/>
  <c r="E51" i="12"/>
  <c r="E54" i="12" s="1"/>
  <c r="D54" i="12"/>
  <c r="D56" i="12" s="1"/>
  <c r="D54" i="15"/>
  <c r="D56" i="15" s="1"/>
  <c r="F51" i="15"/>
  <c r="E51" i="15"/>
  <c r="J33" i="13"/>
  <c r="H36" i="13"/>
  <c r="F51" i="17"/>
  <c r="E51" i="17"/>
  <c r="E54" i="17" s="1"/>
  <c r="D54" i="17"/>
  <c r="D56" i="17" s="1"/>
  <c r="F51" i="13"/>
  <c r="D54" i="13"/>
  <c r="D56" i="13" s="1"/>
  <c r="E51" i="13"/>
  <c r="E54" i="13" s="1"/>
  <c r="J33" i="15"/>
  <c r="H36" i="15"/>
  <c r="H39" i="15" s="1"/>
  <c r="H40" i="15" s="1"/>
  <c r="D54" i="6"/>
  <c r="D56" i="6" s="1"/>
  <c r="D62" i="6" s="1"/>
  <c r="G53" i="6"/>
  <c r="G49" i="6"/>
  <c r="F51" i="6"/>
  <c r="F52" i="6"/>
  <c r="H52" i="6" s="1"/>
  <c r="J52" i="6" s="1"/>
  <c r="L52" i="6" s="1"/>
  <c r="N52" i="6" s="1"/>
  <c r="E52" i="6"/>
  <c r="E51" i="6"/>
  <c r="G44" i="6"/>
  <c r="G50" i="6"/>
  <c r="G48" i="6"/>
  <c r="G47" i="6"/>
  <c r="G46" i="6"/>
  <c r="G45" i="6"/>
  <c r="H39" i="6"/>
  <c r="H40" i="6" s="1"/>
  <c r="L33" i="6"/>
  <c r="J36" i="6"/>
  <c r="E54" i="15" l="1"/>
  <c r="G47" i="13"/>
  <c r="G50" i="13"/>
  <c r="G46" i="13"/>
  <c r="G44" i="13"/>
  <c r="G49" i="13"/>
  <c r="G45" i="13"/>
  <c r="G48" i="13"/>
  <c r="G53" i="13"/>
  <c r="G46" i="17"/>
  <c r="G49" i="17"/>
  <c r="G45" i="17"/>
  <c r="G53" i="17"/>
  <c r="G47" i="17"/>
  <c r="G48" i="17"/>
  <c r="G44" i="17"/>
  <c r="G50" i="17"/>
  <c r="G50" i="11"/>
  <c r="G53" i="11"/>
  <c r="G47" i="11"/>
  <c r="G48" i="11"/>
  <c r="G49" i="11"/>
  <c r="G46" i="11"/>
  <c r="G44" i="11"/>
  <c r="G45" i="11"/>
  <c r="D59" i="17"/>
  <c r="D66" i="17" s="1"/>
  <c r="D62" i="17"/>
  <c r="F8" i="17"/>
  <c r="B10" i="17"/>
  <c r="D59" i="12"/>
  <c r="D66" i="12" s="1"/>
  <c r="B10" i="12"/>
  <c r="D62" i="12"/>
  <c r="F8" i="12"/>
  <c r="E51" i="16"/>
  <c r="F51" i="16"/>
  <c r="D54" i="16"/>
  <c r="D56" i="16" s="1"/>
  <c r="G44" i="16"/>
  <c r="G48" i="16"/>
  <c r="G47" i="16"/>
  <c r="G50" i="16"/>
  <c r="G46" i="16"/>
  <c r="G49" i="16"/>
  <c r="G45" i="16"/>
  <c r="G53" i="16"/>
  <c r="J36" i="18"/>
  <c r="J39" i="18" s="1"/>
  <c r="J40" i="18" s="1"/>
  <c r="L33" i="18"/>
  <c r="J36" i="12"/>
  <c r="J39" i="12" s="1"/>
  <c r="J40" i="12" s="1"/>
  <c r="L33" i="12"/>
  <c r="H39" i="18"/>
  <c r="H40" i="18" s="1"/>
  <c r="H39" i="12"/>
  <c r="H40" i="12"/>
  <c r="E54" i="6"/>
  <c r="G51" i="17"/>
  <c r="H51" i="17"/>
  <c r="F54" i="17"/>
  <c r="F56" i="17" s="1"/>
  <c r="F54" i="12"/>
  <c r="F56" i="12" s="1"/>
  <c r="H51" i="12"/>
  <c r="G51" i="12"/>
  <c r="E52" i="16"/>
  <c r="F52" i="16"/>
  <c r="L33" i="17"/>
  <c r="J36" i="17"/>
  <c r="J39" i="17" s="1"/>
  <c r="J40" i="17" s="1"/>
  <c r="I49" i="15"/>
  <c r="I46" i="15"/>
  <c r="I48" i="15"/>
  <c r="I50" i="15"/>
  <c r="I47" i="15"/>
  <c r="I53" i="15"/>
  <c r="I44" i="15"/>
  <c r="I45" i="15"/>
  <c r="H39" i="13"/>
  <c r="H40" i="13"/>
  <c r="H39" i="17"/>
  <c r="H40" i="17" s="1"/>
  <c r="G52" i="15"/>
  <c r="H52" i="15"/>
  <c r="J36" i="15"/>
  <c r="J39" i="15" s="1"/>
  <c r="J40" i="15" s="1"/>
  <c r="L33" i="15"/>
  <c r="J36" i="13"/>
  <c r="J39" i="13" s="1"/>
  <c r="J40" i="13" s="1"/>
  <c r="L33" i="13"/>
  <c r="L33" i="16"/>
  <c r="J36" i="16"/>
  <c r="F51" i="11"/>
  <c r="D54" i="11"/>
  <c r="D56" i="11" s="1"/>
  <c r="E51" i="11"/>
  <c r="I47" i="16"/>
  <c r="I50" i="16"/>
  <c r="I48" i="16"/>
  <c r="I53" i="16"/>
  <c r="I44" i="16"/>
  <c r="I49" i="16"/>
  <c r="I45" i="16"/>
  <c r="I46" i="16"/>
  <c r="H52" i="17"/>
  <c r="G52" i="17"/>
  <c r="H52" i="18"/>
  <c r="G52" i="18"/>
  <c r="H51" i="15"/>
  <c r="G51" i="15"/>
  <c r="G54" i="15" s="1"/>
  <c r="F54" i="15"/>
  <c r="F56" i="15" s="1"/>
  <c r="I48" i="11"/>
  <c r="I46" i="11"/>
  <c r="I45" i="11"/>
  <c r="I53" i="11"/>
  <c r="I44" i="11"/>
  <c r="I49" i="11"/>
  <c r="I50" i="11"/>
  <c r="I47" i="11"/>
  <c r="G54" i="12"/>
  <c r="E52" i="11"/>
  <c r="F52" i="11"/>
  <c r="D59" i="13"/>
  <c r="D66" i="13" s="1"/>
  <c r="F8" i="13"/>
  <c r="D62" i="13"/>
  <c r="B10" i="13"/>
  <c r="F54" i="18"/>
  <c r="F56" i="18" s="1"/>
  <c r="H51" i="18"/>
  <c r="G51" i="18"/>
  <c r="F54" i="13"/>
  <c r="F56" i="13" s="1"/>
  <c r="G51" i="13"/>
  <c r="H51" i="13"/>
  <c r="F8" i="15"/>
  <c r="B10" i="15"/>
  <c r="D59" i="15"/>
  <c r="D66" i="15" s="1"/>
  <c r="D62" i="15"/>
  <c r="D59" i="18"/>
  <c r="D66" i="18" s="1"/>
  <c r="F8" i="18"/>
  <c r="B10" i="18"/>
  <c r="D62" i="18"/>
  <c r="J36" i="11"/>
  <c r="J39" i="11" s="1"/>
  <c r="J40" i="11" s="1"/>
  <c r="L33" i="11"/>
  <c r="H52" i="13"/>
  <c r="G52" i="13"/>
  <c r="H52" i="12"/>
  <c r="G52" i="12"/>
  <c r="F54" i="6"/>
  <c r="F56" i="6" s="1"/>
  <c r="D59" i="6"/>
  <c r="D66" i="6" s="1"/>
  <c r="B10" i="6"/>
  <c r="I53" i="6"/>
  <c r="I49" i="6"/>
  <c r="F8" i="6"/>
  <c r="G52" i="6"/>
  <c r="H51" i="6"/>
  <c r="H54" i="6" s="1"/>
  <c r="G51" i="6"/>
  <c r="I45" i="6"/>
  <c r="I44" i="6"/>
  <c r="I50" i="6"/>
  <c r="I48" i="6"/>
  <c r="I47" i="6"/>
  <c r="I46" i="6"/>
  <c r="I52" i="6"/>
  <c r="J39" i="6"/>
  <c r="J40" i="6" s="1"/>
  <c r="N33" i="6"/>
  <c r="N36" i="6" s="1"/>
  <c r="L36" i="6"/>
  <c r="E54" i="16" l="1"/>
  <c r="I47" i="18"/>
  <c r="I49" i="18"/>
  <c r="I44" i="18"/>
  <c r="I48" i="18"/>
  <c r="I53" i="18"/>
  <c r="I46" i="18"/>
  <c r="I45" i="18"/>
  <c r="I50" i="18"/>
  <c r="K48" i="17"/>
  <c r="K45" i="17"/>
  <c r="K50" i="17"/>
  <c r="K46" i="17"/>
  <c r="K49" i="17"/>
  <c r="K47" i="17"/>
  <c r="K44" i="17"/>
  <c r="K53" i="17"/>
  <c r="J51" i="17"/>
  <c r="I51" i="17"/>
  <c r="H54" i="17"/>
  <c r="H56" i="17" s="1"/>
  <c r="N33" i="12"/>
  <c r="N36" i="12" s="1"/>
  <c r="L36" i="12"/>
  <c r="L39" i="12" s="1"/>
  <c r="L40" i="12" s="1"/>
  <c r="G54" i="17"/>
  <c r="D70" i="18"/>
  <c r="D71" i="18"/>
  <c r="E54" i="11"/>
  <c r="D70" i="15"/>
  <c r="D71" i="15"/>
  <c r="D59" i="11"/>
  <c r="D66" i="11" s="1"/>
  <c r="F8" i="11"/>
  <c r="D62" i="11"/>
  <c r="B10" i="11"/>
  <c r="J52" i="15"/>
  <c r="I52" i="15"/>
  <c r="H52" i="16"/>
  <c r="G52" i="16"/>
  <c r="N33" i="18"/>
  <c r="N36" i="18" s="1"/>
  <c r="L36" i="18"/>
  <c r="L39" i="18" s="1"/>
  <c r="L40" i="18" s="1"/>
  <c r="N33" i="17"/>
  <c r="N36" i="17" s="1"/>
  <c r="N39" i="17" s="1"/>
  <c r="N40" i="17" s="1"/>
  <c r="L36" i="17"/>
  <c r="L39" i="17" s="1"/>
  <c r="L40" i="17" s="1"/>
  <c r="D71" i="12"/>
  <c r="D70" i="12"/>
  <c r="K53" i="15"/>
  <c r="K45" i="15"/>
  <c r="K50" i="15"/>
  <c r="K49" i="15"/>
  <c r="K48" i="15"/>
  <c r="K47" i="15"/>
  <c r="K46" i="15"/>
  <c r="K44" i="15"/>
  <c r="J52" i="13"/>
  <c r="I52" i="13"/>
  <c r="N33" i="11"/>
  <c r="N36" i="11" s="1"/>
  <c r="N39" i="11" s="1"/>
  <c r="N40" i="11" s="1"/>
  <c r="L36" i="11"/>
  <c r="L39" i="11" s="1"/>
  <c r="L40" i="11" s="1"/>
  <c r="K50" i="18"/>
  <c r="K53" i="18"/>
  <c r="K46" i="18"/>
  <c r="K47" i="18"/>
  <c r="K48" i="18"/>
  <c r="K44" i="18"/>
  <c r="K45" i="18"/>
  <c r="K49" i="18"/>
  <c r="K47" i="11"/>
  <c r="K50" i="11"/>
  <c r="K49" i="11"/>
  <c r="K53" i="11"/>
  <c r="K46" i="11"/>
  <c r="K44" i="11"/>
  <c r="K48" i="11"/>
  <c r="K45" i="11"/>
  <c r="J51" i="15"/>
  <c r="I51" i="15"/>
  <c r="H54" i="15"/>
  <c r="H56" i="15" s="1"/>
  <c r="J39" i="16"/>
  <c r="J40" i="16"/>
  <c r="D59" i="16"/>
  <c r="D66" i="16" s="1"/>
  <c r="B10" i="16"/>
  <c r="F8" i="16"/>
  <c r="D62" i="16"/>
  <c r="I52" i="12"/>
  <c r="J52" i="12"/>
  <c r="H54" i="18"/>
  <c r="H56" i="18" s="1"/>
  <c r="J51" i="18"/>
  <c r="I51" i="18"/>
  <c r="K46" i="12"/>
  <c r="K44" i="12"/>
  <c r="K47" i="12"/>
  <c r="K53" i="12"/>
  <c r="K45" i="12"/>
  <c r="K50" i="12"/>
  <c r="K49" i="12"/>
  <c r="K48" i="12"/>
  <c r="F62" i="15"/>
  <c r="F59" i="15"/>
  <c r="F66" i="15" s="1"/>
  <c r="I49" i="12"/>
  <c r="I44" i="12"/>
  <c r="I53" i="12"/>
  <c r="I45" i="12"/>
  <c r="I50" i="12"/>
  <c r="I48" i="12"/>
  <c r="I46" i="12"/>
  <c r="I47" i="12"/>
  <c r="J51" i="13"/>
  <c r="I51" i="13"/>
  <c r="H54" i="13"/>
  <c r="H56" i="13" s="1"/>
  <c r="G54" i="18"/>
  <c r="L36" i="16"/>
  <c r="L39" i="16" s="1"/>
  <c r="L40" i="16" s="1"/>
  <c r="N33" i="16"/>
  <c r="N36" i="16" s="1"/>
  <c r="N39" i="16" s="1"/>
  <c r="N40" i="16" s="1"/>
  <c r="I45" i="17"/>
  <c r="I49" i="17"/>
  <c r="I44" i="17"/>
  <c r="I53" i="17"/>
  <c r="I48" i="17"/>
  <c r="I46" i="17"/>
  <c r="I47" i="17"/>
  <c r="I50" i="17"/>
  <c r="H54" i="12"/>
  <c r="H56" i="12" s="1"/>
  <c r="J51" i="12"/>
  <c r="I51" i="12"/>
  <c r="F54" i="16"/>
  <c r="F56" i="16" s="1"/>
  <c r="H51" i="16"/>
  <c r="G51" i="16"/>
  <c r="G54" i="16" s="1"/>
  <c r="I52" i="17"/>
  <c r="J52" i="17"/>
  <c r="F59" i="18"/>
  <c r="F62" i="18"/>
  <c r="G51" i="11"/>
  <c r="G54" i="11" s="1"/>
  <c r="F54" i="11"/>
  <c r="F56" i="11" s="1"/>
  <c r="B74" i="11" s="1"/>
  <c r="C74" i="11" s="1"/>
  <c r="H51" i="11"/>
  <c r="D70" i="13"/>
  <c r="D71" i="13"/>
  <c r="I52" i="18"/>
  <c r="J52" i="18"/>
  <c r="N33" i="13"/>
  <c r="L36" i="13"/>
  <c r="L39" i="13" s="1"/>
  <c r="L40" i="13" s="1"/>
  <c r="F59" i="12"/>
  <c r="F66" i="12" s="1"/>
  <c r="F62" i="12"/>
  <c r="N33" i="15"/>
  <c r="N36" i="15" s="1"/>
  <c r="N39" i="15" s="1"/>
  <c r="N40" i="15" s="1"/>
  <c r="L36" i="15"/>
  <c r="L39" i="15" s="1"/>
  <c r="L40" i="15" s="1"/>
  <c r="G54" i="13"/>
  <c r="I44" i="13"/>
  <c r="I49" i="13"/>
  <c r="I53" i="13"/>
  <c r="I45" i="13"/>
  <c r="I46" i="13"/>
  <c r="I48" i="13"/>
  <c r="I50" i="13"/>
  <c r="I47" i="13"/>
  <c r="F62" i="13"/>
  <c r="F59" i="13"/>
  <c r="F66" i="13" s="1"/>
  <c r="G52" i="11"/>
  <c r="H52" i="11"/>
  <c r="K53" i="13"/>
  <c r="K49" i="13"/>
  <c r="K45" i="13"/>
  <c r="K50" i="13"/>
  <c r="K48" i="13"/>
  <c r="K47" i="13"/>
  <c r="K46" i="13"/>
  <c r="K44" i="13"/>
  <c r="F59" i="17"/>
  <c r="F66" i="17" s="1"/>
  <c r="F62" i="17"/>
  <c r="D71" i="17"/>
  <c r="D70" i="17"/>
  <c r="G54" i="6"/>
  <c r="K53" i="6"/>
  <c r="K49" i="6"/>
  <c r="F59" i="6"/>
  <c r="F66" i="6" s="1"/>
  <c r="F62" i="6"/>
  <c r="K50" i="6"/>
  <c r="K48" i="6"/>
  <c r="K46" i="6"/>
  <c r="K45" i="6"/>
  <c r="K47" i="6"/>
  <c r="K44" i="6"/>
  <c r="K52" i="6"/>
  <c r="I51" i="6"/>
  <c r="I54" i="6" s="1"/>
  <c r="J51" i="6"/>
  <c r="J54" i="6" s="1"/>
  <c r="H56" i="6"/>
  <c r="L39" i="6"/>
  <c r="L40" i="6" s="1"/>
  <c r="N39" i="6"/>
  <c r="N40" i="6" s="1"/>
  <c r="I54" i="15" l="1"/>
  <c r="M48" i="15"/>
  <c r="M44" i="15"/>
  <c r="M46" i="15"/>
  <c r="M47" i="15"/>
  <c r="M53" i="15"/>
  <c r="M45" i="15"/>
  <c r="M49" i="15"/>
  <c r="M50" i="15"/>
  <c r="M50" i="18"/>
  <c r="M53" i="18"/>
  <c r="M47" i="18"/>
  <c r="M46" i="18"/>
  <c r="M44" i="18"/>
  <c r="M48" i="18"/>
  <c r="M45" i="18"/>
  <c r="M49" i="18"/>
  <c r="F71" i="17"/>
  <c r="F70" i="17"/>
  <c r="I51" i="11"/>
  <c r="J51" i="11"/>
  <c r="H54" i="11"/>
  <c r="H56" i="11" s="1"/>
  <c r="J54" i="18"/>
  <c r="J56" i="18" s="1"/>
  <c r="L51" i="18"/>
  <c r="K51" i="18"/>
  <c r="K50" i="16"/>
  <c r="K47" i="16"/>
  <c r="K45" i="16"/>
  <c r="K44" i="16"/>
  <c r="K53" i="16"/>
  <c r="K48" i="16"/>
  <c r="K46" i="16"/>
  <c r="K49" i="16"/>
  <c r="N39" i="18"/>
  <c r="N40" i="18" s="1"/>
  <c r="D70" i="11"/>
  <c r="D71" i="11"/>
  <c r="L52" i="17"/>
  <c r="K52" i="17"/>
  <c r="M46" i="11"/>
  <c r="M44" i="11"/>
  <c r="M48" i="11"/>
  <c r="M45" i="11"/>
  <c r="M50" i="11"/>
  <c r="M47" i="11"/>
  <c r="M53" i="11"/>
  <c r="M49" i="11"/>
  <c r="F71" i="12"/>
  <c r="F70" i="12"/>
  <c r="F62" i="11"/>
  <c r="F59" i="11"/>
  <c r="B75" i="11" s="1"/>
  <c r="C75" i="11" s="1"/>
  <c r="J51" i="16"/>
  <c r="I51" i="16"/>
  <c r="H54" i="16"/>
  <c r="H56" i="16" s="1"/>
  <c r="H62" i="18"/>
  <c r="H59" i="18"/>
  <c r="H66" i="18" s="1"/>
  <c r="L52" i="13"/>
  <c r="K52" i="13"/>
  <c r="M53" i="12"/>
  <c r="M49" i="12"/>
  <c r="M45" i="12"/>
  <c r="M50" i="12"/>
  <c r="M47" i="12"/>
  <c r="M44" i="12"/>
  <c r="M48" i="12"/>
  <c r="M46" i="12"/>
  <c r="M53" i="16"/>
  <c r="M44" i="16"/>
  <c r="M47" i="16"/>
  <c r="M48" i="16"/>
  <c r="M46" i="16"/>
  <c r="M50" i="16"/>
  <c r="M49" i="16"/>
  <c r="M45" i="16"/>
  <c r="I52" i="16"/>
  <c r="J52" i="16"/>
  <c r="N39" i="12"/>
  <c r="N40" i="12"/>
  <c r="I52" i="11"/>
  <c r="J52" i="11"/>
  <c r="H59" i="13"/>
  <c r="H66" i="13" s="1"/>
  <c r="H62" i="13"/>
  <c r="L52" i="12"/>
  <c r="K52" i="12"/>
  <c r="F71" i="13"/>
  <c r="F70" i="13"/>
  <c r="N36" i="13"/>
  <c r="N39" i="13" s="1"/>
  <c r="N40" i="13" s="1"/>
  <c r="P33" i="13"/>
  <c r="I54" i="12"/>
  <c r="H62" i="15"/>
  <c r="H59" i="15"/>
  <c r="H66" i="15" s="1"/>
  <c r="H62" i="17"/>
  <c r="H59" i="17"/>
  <c r="H66" i="17" s="1"/>
  <c r="I54" i="18"/>
  <c r="M49" i="13"/>
  <c r="M50" i="13"/>
  <c r="M45" i="13"/>
  <c r="M48" i="13"/>
  <c r="M46" i="13"/>
  <c r="M47" i="13"/>
  <c r="M53" i="13"/>
  <c r="M44" i="13"/>
  <c r="F59" i="16"/>
  <c r="F66" i="16" s="1"/>
  <c r="F62" i="16"/>
  <c r="I54" i="13"/>
  <c r="K52" i="18"/>
  <c r="L52" i="18"/>
  <c r="F66" i="18"/>
  <c r="J54" i="12"/>
  <c r="J56" i="12" s="1"/>
  <c r="L51" i="12"/>
  <c r="K51" i="12"/>
  <c r="K54" i="12" s="1"/>
  <c r="K51" i="13"/>
  <c r="K54" i="13" s="1"/>
  <c r="J54" i="13"/>
  <c r="J56" i="13" s="1"/>
  <c r="L51" i="13"/>
  <c r="L52" i="15"/>
  <c r="K52" i="15"/>
  <c r="I54" i="17"/>
  <c r="D71" i="16"/>
  <c r="D70" i="16"/>
  <c r="H62" i="12"/>
  <c r="H59" i="12"/>
  <c r="H66" i="12" s="1"/>
  <c r="F70" i="15"/>
  <c r="F71" i="15"/>
  <c r="L51" i="15"/>
  <c r="K51" i="15"/>
  <c r="J54" i="15"/>
  <c r="J56" i="15" s="1"/>
  <c r="M53" i="17"/>
  <c r="M48" i="17"/>
  <c r="M50" i="17"/>
  <c r="M44" i="17"/>
  <c r="M47" i="17"/>
  <c r="M45" i="17"/>
  <c r="M49" i="17"/>
  <c r="M46" i="17"/>
  <c r="L51" i="17"/>
  <c r="K51" i="17"/>
  <c r="J54" i="17"/>
  <c r="J56" i="17" s="1"/>
  <c r="M53" i="6"/>
  <c r="M49" i="6"/>
  <c r="H59" i="6"/>
  <c r="H66" i="6" s="1"/>
  <c r="H62" i="6"/>
  <c r="D70" i="6"/>
  <c r="F70" i="6"/>
  <c r="K51" i="6"/>
  <c r="K54" i="6" s="1"/>
  <c r="L51" i="6"/>
  <c r="L54" i="6" s="1"/>
  <c r="J56" i="6"/>
  <c r="M47" i="6"/>
  <c r="M46" i="6"/>
  <c r="M45" i="6"/>
  <c r="M52" i="6"/>
  <c r="M48" i="6"/>
  <c r="M44" i="6"/>
  <c r="M50" i="6"/>
  <c r="I54" i="16" l="1"/>
  <c r="K54" i="15"/>
  <c r="K54" i="18"/>
  <c r="J54" i="16"/>
  <c r="J56" i="16" s="1"/>
  <c r="L51" i="16"/>
  <c r="K51" i="16"/>
  <c r="K54" i="17"/>
  <c r="M51" i="18"/>
  <c r="L54" i="18"/>
  <c r="L56" i="18" s="1"/>
  <c r="N51" i="18"/>
  <c r="F66" i="11"/>
  <c r="J62" i="18"/>
  <c r="J59" i="18"/>
  <c r="J66" i="18" s="1"/>
  <c r="H71" i="12"/>
  <c r="H70" i="12"/>
  <c r="N52" i="12"/>
  <c r="M52" i="12"/>
  <c r="J59" i="15"/>
  <c r="J66" i="15" s="1"/>
  <c r="J62" i="15"/>
  <c r="H70" i="13"/>
  <c r="H71" i="13"/>
  <c r="H62" i="11"/>
  <c r="H59" i="11"/>
  <c r="H66" i="11" s="1"/>
  <c r="M51" i="17"/>
  <c r="N51" i="17"/>
  <c r="L54" i="17"/>
  <c r="L56" i="17" s="1"/>
  <c r="N51" i="12"/>
  <c r="M51" i="12"/>
  <c r="L54" i="12"/>
  <c r="L56" i="12" s="1"/>
  <c r="F71" i="16"/>
  <c r="F70" i="16"/>
  <c r="P36" i="13"/>
  <c r="P39" i="13" s="1"/>
  <c r="P40" i="13" s="1"/>
  <c r="R33" i="13"/>
  <c r="R36" i="13" s="1"/>
  <c r="R39" i="13" s="1"/>
  <c r="R40" i="13" s="1"/>
  <c r="L52" i="11"/>
  <c r="K52" i="11"/>
  <c r="N52" i="13"/>
  <c r="M52" i="13"/>
  <c r="J54" i="11"/>
  <c r="J56" i="11" s="1"/>
  <c r="L51" i="11"/>
  <c r="K51" i="11"/>
  <c r="K54" i="11" s="1"/>
  <c r="L54" i="13"/>
  <c r="L56" i="13" s="1"/>
  <c r="M51" i="13"/>
  <c r="M54" i="13" s="1"/>
  <c r="N51" i="13"/>
  <c r="K52" i="16"/>
  <c r="K54" i="16" s="1"/>
  <c r="L52" i="16"/>
  <c r="J59" i="13"/>
  <c r="J66" i="13" s="1"/>
  <c r="J62" i="13"/>
  <c r="J62" i="12"/>
  <c r="J59" i="12"/>
  <c r="J66" i="12" s="1"/>
  <c r="O45" i="13"/>
  <c r="O50" i="13"/>
  <c r="O49" i="13"/>
  <c r="O48" i="13"/>
  <c r="O46" i="13"/>
  <c r="O47" i="13"/>
  <c r="O53" i="13"/>
  <c r="O44" i="13"/>
  <c r="H70" i="18"/>
  <c r="H71" i="18"/>
  <c r="I54" i="11"/>
  <c r="J59" i="17"/>
  <c r="J66" i="17" s="1"/>
  <c r="J62" i="17"/>
  <c r="H70" i="15"/>
  <c r="H71" i="15"/>
  <c r="N51" i="15"/>
  <c r="M51" i="15"/>
  <c r="L54" i="15"/>
  <c r="L56" i="15" s="1"/>
  <c r="F70" i="18"/>
  <c r="F71" i="18"/>
  <c r="N52" i="18"/>
  <c r="M52" i="18"/>
  <c r="M52" i="17"/>
  <c r="N52" i="17"/>
  <c r="N52" i="15"/>
  <c r="M52" i="15"/>
  <c r="H70" i="17"/>
  <c r="H71" i="17"/>
  <c r="H59" i="16"/>
  <c r="H66" i="16" s="1"/>
  <c r="H62" i="16"/>
  <c r="J59" i="6"/>
  <c r="J66" i="6" s="1"/>
  <c r="J62" i="6"/>
  <c r="H70" i="6"/>
  <c r="M51" i="6"/>
  <c r="M54" i="6" s="1"/>
  <c r="N51" i="6"/>
  <c r="L56" i="6"/>
  <c r="N54" i="18" l="1"/>
  <c r="N56" i="18" s="1"/>
  <c r="L67" i="18" s="1"/>
  <c r="N54" i="17"/>
  <c r="N56" i="17" s="1"/>
  <c r="L67" i="17" s="1"/>
  <c r="M54" i="12"/>
  <c r="N54" i="15"/>
  <c r="N56" i="15" s="1"/>
  <c r="L67" i="15" s="1"/>
  <c r="M5" i="15" s="1"/>
  <c r="M54" i="15"/>
  <c r="M54" i="17"/>
  <c r="N52" i="11"/>
  <c r="M52" i="11"/>
  <c r="L62" i="17"/>
  <c r="L59" i="17"/>
  <c r="L66" i="17" s="1"/>
  <c r="J70" i="15"/>
  <c r="J71" i="15"/>
  <c r="F71" i="11"/>
  <c r="F70" i="11"/>
  <c r="M5" i="17"/>
  <c r="M4" i="17"/>
  <c r="L68" i="17"/>
  <c r="M3" i="17"/>
  <c r="M5" i="18"/>
  <c r="M4" i="18"/>
  <c r="L68" i="18"/>
  <c r="M3" i="18"/>
  <c r="L62" i="18"/>
  <c r="L59" i="18"/>
  <c r="L66" i="18" s="1"/>
  <c r="L62" i="13"/>
  <c r="L59" i="13"/>
  <c r="L66" i="13" s="1"/>
  <c r="N51" i="11"/>
  <c r="N54" i="11" s="1"/>
  <c r="N56" i="11" s="1"/>
  <c r="L67" i="11" s="1"/>
  <c r="M51" i="11"/>
  <c r="M54" i="11" s="1"/>
  <c r="L54" i="11"/>
  <c r="L56" i="11" s="1"/>
  <c r="H71" i="11"/>
  <c r="H70" i="11"/>
  <c r="M54" i="18"/>
  <c r="J71" i="13"/>
  <c r="J70" i="13"/>
  <c r="J59" i="11"/>
  <c r="J66" i="11" s="1"/>
  <c r="J62" i="11"/>
  <c r="Q45" i="13"/>
  <c r="Q50" i="13"/>
  <c r="Q49" i="13"/>
  <c r="Q48" i="13"/>
  <c r="Q44" i="13"/>
  <c r="Q47" i="13"/>
  <c r="Q46" i="13"/>
  <c r="Q53" i="13"/>
  <c r="J71" i="17"/>
  <c r="J70" i="17"/>
  <c r="M52" i="16"/>
  <c r="N52" i="16"/>
  <c r="L59" i="12"/>
  <c r="L66" i="12" s="1"/>
  <c r="L62" i="12"/>
  <c r="J70" i="18"/>
  <c r="J71" i="18"/>
  <c r="P52" i="13"/>
  <c r="O52" i="13"/>
  <c r="N51" i="16"/>
  <c r="M51" i="16"/>
  <c r="L54" i="16"/>
  <c r="L56" i="16" s="1"/>
  <c r="J70" i="12"/>
  <c r="J71" i="12"/>
  <c r="L59" i="15"/>
  <c r="L66" i="15" s="1"/>
  <c r="L71" i="15" s="1"/>
  <c r="L62" i="15"/>
  <c r="H70" i="16"/>
  <c r="H71" i="16"/>
  <c r="N54" i="13"/>
  <c r="N56" i="13" s="1"/>
  <c r="O51" i="13"/>
  <c r="P51" i="13"/>
  <c r="N54" i="12"/>
  <c r="N56" i="12" s="1"/>
  <c r="L67" i="12" s="1"/>
  <c r="J62" i="16"/>
  <c r="J59" i="16"/>
  <c r="J66" i="16" s="1"/>
  <c r="N54" i="6"/>
  <c r="N56" i="6" s="1"/>
  <c r="J70" i="6"/>
  <c r="L59" i="6"/>
  <c r="L66" i="6" s="1"/>
  <c r="L71" i="6" s="1"/>
  <c r="L62" i="6"/>
  <c r="J9" i="6"/>
  <c r="C65" i="6" s="1"/>
  <c r="C70" i="6" s="1"/>
  <c r="J71" i="6" s="1"/>
  <c r="M54" i="16" l="1"/>
  <c r="M4" i="15"/>
  <c r="L68" i="15"/>
  <c r="L70" i="15" s="1"/>
  <c r="C72" i="15" s="1"/>
  <c r="M3" i="15"/>
  <c r="L71" i="12"/>
  <c r="L59" i="11"/>
  <c r="L66" i="11" s="1"/>
  <c r="L71" i="11" s="1"/>
  <c r="L62" i="11"/>
  <c r="L62" i="16"/>
  <c r="L59" i="16"/>
  <c r="L66" i="16" s="1"/>
  <c r="L71" i="16" s="1"/>
  <c r="N59" i="13"/>
  <c r="N66" i="13" s="1"/>
  <c r="N62" i="13"/>
  <c r="N54" i="16"/>
  <c r="N56" i="16" s="1"/>
  <c r="L67" i="16" s="1"/>
  <c r="M5" i="11"/>
  <c r="M3" i="11"/>
  <c r="M4" i="11"/>
  <c r="L68" i="11"/>
  <c r="L70" i="11" s="1"/>
  <c r="L71" i="17"/>
  <c r="L70" i="17"/>
  <c r="C72" i="17" s="1"/>
  <c r="L71" i="13"/>
  <c r="L70" i="13"/>
  <c r="M3" i="12"/>
  <c r="M5" i="12"/>
  <c r="L68" i="12"/>
  <c r="L70" i="12" s="1"/>
  <c r="C72" i="12" s="1"/>
  <c r="M4" i="12"/>
  <c r="L70" i="18"/>
  <c r="C72" i="18" s="1"/>
  <c r="L71" i="18"/>
  <c r="O54" i="13"/>
  <c r="J71" i="16"/>
  <c r="J70" i="16"/>
  <c r="R52" i="13"/>
  <c r="Q52" i="13"/>
  <c r="Q51" i="13"/>
  <c r="Q54" i="13" s="1"/>
  <c r="R51" i="13"/>
  <c r="P54" i="13"/>
  <c r="P56" i="13" s="1"/>
  <c r="J70" i="11"/>
  <c r="J71" i="11"/>
  <c r="L67" i="6"/>
  <c r="D71" i="6"/>
  <c r="F71" i="6"/>
  <c r="H71" i="6"/>
  <c r="R54" i="13" l="1"/>
  <c r="R56" i="13" s="1"/>
  <c r="P67" i="13" s="1"/>
  <c r="C72" i="11"/>
  <c r="P59" i="13"/>
  <c r="P66" i="13" s="1"/>
  <c r="P62" i="13"/>
  <c r="N70" i="13"/>
  <c r="N71" i="13"/>
  <c r="P68" i="13"/>
  <c r="M5" i="13"/>
  <c r="M3" i="13"/>
  <c r="M4" i="13"/>
  <c r="M3" i="16"/>
  <c r="L68" i="16"/>
  <c r="L70" i="16" s="1"/>
  <c r="C72" i="16" s="1"/>
  <c r="M5" i="16"/>
  <c r="M4" i="16"/>
  <c r="M4" i="6"/>
  <c r="M3" i="6"/>
  <c r="M5" i="6"/>
  <c r="L68" i="6"/>
  <c r="L70" i="6" s="1"/>
  <c r="C72" i="6" s="1"/>
  <c r="P70" i="13" l="1"/>
  <c r="C72" i="13" s="1"/>
  <c r="P71" i="13"/>
</calcChain>
</file>

<file path=xl/sharedStrings.xml><?xml version="1.0" encoding="utf-8"?>
<sst xmlns="http://schemas.openxmlformats.org/spreadsheetml/2006/main" count="893" uniqueCount="116">
  <si>
    <t>Income</t>
  </si>
  <si>
    <t>Loan Amortization</t>
  </si>
  <si>
    <t>Units</t>
  </si>
  <si>
    <t>GRM</t>
  </si>
  <si>
    <t>Property Address</t>
  </si>
  <si>
    <t>Unit</t>
  </si>
  <si>
    <t>Loan Amount</t>
  </si>
  <si>
    <t>Term</t>
  </si>
  <si>
    <t>Interest Rate</t>
  </si>
  <si>
    <t>Price/SqFt</t>
  </si>
  <si>
    <t>Lot Size (SqFt)</t>
  </si>
  <si>
    <t>Price/Unit</t>
  </si>
  <si>
    <t>Property Information</t>
  </si>
  <si>
    <t>Down Payment</t>
  </si>
  <si>
    <t>Monthly Payment</t>
  </si>
  <si>
    <t>DSCR</t>
  </si>
  <si>
    <t>Vacancy Allowance</t>
  </si>
  <si>
    <t>Effective Gross Income</t>
  </si>
  <si>
    <t>Gross Potential Income</t>
  </si>
  <si>
    <t>Average Unit Size</t>
  </si>
  <si>
    <t>Rent Roll</t>
  </si>
  <si>
    <t>% of EGI</t>
  </si>
  <si>
    <t>Cash-on-Cash Return</t>
  </si>
  <si>
    <t>Building Size (SqFt)</t>
  </si>
  <si>
    <t>Unit Type</t>
  </si>
  <si>
    <t>Rent</t>
  </si>
  <si>
    <t>Expenses</t>
  </si>
  <si>
    <t>Repairs and Maintenance</t>
  </si>
  <si>
    <t>Reserves &amp; Replacements</t>
  </si>
  <si>
    <t>Unit SF</t>
  </si>
  <si>
    <t>Actual Rent/SF</t>
  </si>
  <si>
    <t>Pro Forma Rent/Month</t>
  </si>
  <si>
    <t>Actual Rent/Year</t>
  </si>
  <si>
    <t>Actual Rent/Month</t>
  </si>
  <si>
    <t>Pro Forma Rent/Year</t>
  </si>
  <si>
    <t>Pro Forma Rent/SF</t>
  </si>
  <si>
    <t>Average Unit SF</t>
  </si>
  <si>
    <t>Potential Upside</t>
  </si>
  <si>
    <t>Total Units</t>
  </si>
  <si>
    <t>Actual Average Rent/Month</t>
  </si>
  <si>
    <t>Actual Total Rent/Month</t>
  </si>
  <si>
    <t>Pro Forma Total Rent/Month</t>
  </si>
  <si>
    <t>Upside %</t>
  </si>
  <si>
    <t>%</t>
  </si>
  <si>
    <t>Property Name</t>
  </si>
  <si>
    <t>Going-in Cap Rate</t>
  </si>
  <si>
    <t>Purchase Price</t>
  </si>
  <si>
    <t>Debt</t>
  </si>
  <si>
    <t>Residual Value</t>
  </si>
  <si>
    <t>Exit Cap Rate</t>
  </si>
  <si>
    <t>Exit GRM</t>
  </si>
  <si>
    <t>Exit Price/SqFt</t>
  </si>
  <si>
    <t>Total Acquisition Costs</t>
  </si>
  <si>
    <t>Closing/Acquisition Costs</t>
  </si>
  <si>
    <t>Closing Cost</t>
  </si>
  <si>
    <t>Loan Point Cost</t>
  </si>
  <si>
    <t>Miscellaneous Cost</t>
  </si>
  <si>
    <t>Inspection Cost</t>
  </si>
  <si>
    <t>Appraisal Cost</t>
  </si>
  <si>
    <t>Selling Costs</t>
  </si>
  <si>
    <t>Eixt Price/Unit</t>
  </si>
  <si>
    <t>Insurance</t>
  </si>
  <si>
    <t>Management</t>
  </si>
  <si>
    <t>Total Expenses</t>
  </si>
  <si>
    <t>Net Operating Income</t>
  </si>
  <si>
    <t>Inflation</t>
  </si>
  <si>
    <t>Upside/Month</t>
  </si>
  <si>
    <t>Upside/Year</t>
  </si>
  <si>
    <t>Vacancy</t>
  </si>
  <si>
    <t>Debt Service</t>
  </si>
  <si>
    <t>Renovation Cost</t>
  </si>
  <si>
    <t>Before Tax Cash Flow</t>
  </si>
  <si>
    <t>Year 0</t>
  </si>
  <si>
    <t>Returns</t>
  </si>
  <si>
    <t>Acquisition Capital</t>
  </si>
  <si>
    <t>Sale</t>
  </si>
  <si>
    <t>Loan Payoff</t>
  </si>
  <si>
    <t>Loan Balance</t>
  </si>
  <si>
    <t>Total Levered Cash Flow</t>
  </si>
  <si>
    <t>Levered IRR</t>
  </si>
  <si>
    <t>Plaza West</t>
  </si>
  <si>
    <t>3420 West Rose Lane, Phoenix AZ 85017</t>
  </si>
  <si>
    <t>Year Built/Renovated</t>
  </si>
  <si>
    <t>1962/2016</t>
  </si>
  <si>
    <t>1B/1B</t>
  </si>
  <si>
    <t>3B/2B</t>
  </si>
  <si>
    <t>Utility Reimbursement</t>
  </si>
  <si>
    <t>Other Income</t>
  </si>
  <si>
    <t>Property Taxes</t>
  </si>
  <si>
    <t>Utilities</t>
  </si>
  <si>
    <t>On-site Payroll</t>
  </si>
  <si>
    <t>Contract Services</t>
  </si>
  <si>
    <t>Marketing &amp; Promotions</t>
  </si>
  <si>
    <t>General &amp; Administrative</t>
  </si>
  <si>
    <t>Commission</t>
  </si>
  <si>
    <t>Total Selling Closts</t>
  </si>
  <si>
    <t>2nd Year Cap Rate</t>
  </si>
  <si>
    <t>2nd Year Cash-on-Cash</t>
  </si>
  <si>
    <t>Year</t>
  </si>
  <si>
    <t>End of Year Cash</t>
  </si>
  <si>
    <t>Properties Can Purchase</t>
  </si>
  <si>
    <t>Cash Spent in Purchase</t>
  </si>
  <si>
    <t>Cash Out</t>
  </si>
  <si>
    <t>Beginning of Year Cash</t>
  </si>
  <si>
    <t>Year 10</t>
  </si>
  <si>
    <t>Year 11</t>
  </si>
  <si>
    <t>A</t>
  </si>
  <si>
    <t>B</t>
  </si>
  <si>
    <t>Interest Paid</t>
  </si>
  <si>
    <t>Ending Priciple Balance at 60th month</t>
  </si>
  <si>
    <t>Loan amount at the beginning of the year</t>
  </si>
  <si>
    <t xml:space="preserve"> Monthly Payment</t>
  </si>
  <si>
    <t>Year Calculation</t>
  </si>
  <si>
    <t>Total Interest</t>
  </si>
  <si>
    <t>Credit to John - PA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</si>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</sst>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\ &quot;Months&quot;"/>
    <numFmt numFmtId="167" formatCode="&quot;Year&quot;\ \1"/>
    <numFmt numFmtId="168" formatCode="&quot;Year&quot;\ 0"/>
    <numFmt numFmtId="169" formatCode="&quot;$&quot;#,###\ &quot;Per Unit&quot;"/>
    <numFmt numFmtId="170" formatCode="0\ &quot;Year Fixed&quot;"/>
  </numFmts>
  <fonts count="22">
    <font>
      <sz val="11"/>
      <color theme="1"/>
      <name val="Calibri"/>
      <family val="2"/>
      <scheme val="minor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Futura Bk BT"/>
      <family val="2"/>
    </font>
    <font>
      <sz val="12"/>
      <color theme="0"/>
      <name val="Futura Bk BT"/>
      <family val="2"/>
    </font>
    <font>
      <b/>
      <sz val="12"/>
      <color theme="0"/>
      <name val="Futura Bk BT"/>
      <family val="2"/>
    </font>
    <font>
      <sz val="12"/>
      <name val="Futura Bk BT"/>
      <family val="2"/>
    </font>
    <font>
      <sz val="12"/>
      <color rgb="FF000000"/>
      <name val="Futura Bk BT"/>
      <family val="2"/>
    </font>
    <font>
      <sz val="12"/>
      <color rgb="FF0000FF"/>
      <name val="Futura Bk BT"/>
      <family val="2"/>
    </font>
    <font>
      <sz val="12"/>
      <color theme="1"/>
      <name val="Futura "/>
    </font>
    <font>
      <sz val="12"/>
      <color rgb="FF006A4D"/>
      <name val="Futura Bk BT"/>
      <family val="2"/>
    </font>
    <font>
      <sz val="12"/>
      <color rgb="FF006A4D"/>
      <name val="Futura "/>
    </font>
    <font>
      <b/>
      <sz val="12"/>
      <color theme="1"/>
      <name val="Futura Bk BT"/>
      <family val="2"/>
    </font>
    <font>
      <b/>
      <sz val="12"/>
      <color rgb="FF006100"/>
      <name val="Futura Bk BT"/>
      <family val="2"/>
    </font>
    <font>
      <b/>
      <sz val="12"/>
      <name val="Futura Bk BT"/>
      <family val="2"/>
    </font>
    <font>
      <sz val="12"/>
      <color rgb="FF9C5700"/>
      <name val="Futura Bk BT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0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4" fillId="4" borderId="0" applyNumberFormat="0" applyBorder="0" applyAlignment="0" applyProtection="0"/>
    <xf numFmtId="0" fontId="21" fillId="5" borderId="0" applyNumberFormat="0" applyBorder="0" applyAlignment="0" applyProtection="0"/>
  </cellStyleXfs>
  <cellXfs count="150">
    <xf numFmtId="0" fontId="0" fillId="0" borderId="0" xfId="0"/>
    <xf numFmtId="0" fontId="4" fillId="4" borderId="13" xfId="38" applyBorder="1"/>
    <xf numFmtId="6" fontId="3" fillId="4" borderId="13" xfId="38" applyNumberFormat="1" applyFont="1" applyBorder="1" applyAlignment="1">
      <alignment horizontal="center"/>
    </xf>
    <xf numFmtId="0" fontId="3" fillId="4" borderId="13" xfId="38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3" fontId="9" fillId="2" borderId="1" xfId="36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9" fillId="2" borderId="1" xfId="36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166" fontId="9" fillId="2" borderId="1" xfId="36" applyNumberFormat="1" applyFont="1" applyBorder="1" applyAlignment="1">
      <alignment horizontal="right" vertical="center"/>
    </xf>
    <xf numFmtId="1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6" fontId="9" fillId="2" borderId="1" xfId="36" applyNumberFormat="1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/>
    <xf numFmtId="9" fontId="13" fillId="0" borderId="0" xfId="0" applyNumberFormat="1" applyFont="1" applyAlignment="1">
      <alignment horizontal="center" vertical="center" wrapText="1" readingOrder="1"/>
    </xf>
    <xf numFmtId="6" fontId="13" fillId="0" borderId="0" xfId="0" applyNumberFormat="1" applyFont="1" applyAlignment="1">
      <alignment horizontal="center" vertical="center" wrapText="1" readingOrder="1"/>
    </xf>
    <xf numFmtId="6" fontId="12" fillId="0" borderId="0" xfId="0" applyNumberFormat="1" applyFont="1" applyAlignment="1">
      <alignment horizontal="center" vertical="center" wrapText="1"/>
    </xf>
    <xf numFmtId="8" fontId="13" fillId="0" borderId="0" xfId="0" applyNumberFormat="1" applyFont="1" applyAlignment="1">
      <alignment horizontal="center" vertical="center" wrapText="1" readingOrder="1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3" fillId="4" borderId="13" xfId="38" applyFont="1" applyBorder="1" applyAlignment="1">
      <alignment horizontal="center"/>
    </xf>
    <xf numFmtId="0" fontId="3" fillId="4" borderId="13" xfId="38" applyFont="1" applyBorder="1" applyAlignment="1">
      <alignment horizontal="center" vertical="center" wrapText="1" readingOrder="1"/>
    </xf>
    <xf numFmtId="9" fontId="3" fillId="4" borderId="13" xfId="38" applyNumberFormat="1" applyFont="1" applyBorder="1" applyAlignment="1">
      <alignment horizontal="center"/>
    </xf>
    <xf numFmtId="3" fontId="3" fillId="4" borderId="13" xfId="38" applyNumberFormat="1" applyFont="1" applyBorder="1" applyAlignment="1">
      <alignment horizontal="center"/>
    </xf>
    <xf numFmtId="5" fontId="3" fillId="4" borderId="13" xfId="38" applyNumberFormat="1" applyFont="1" applyBorder="1" applyAlignment="1">
      <alignment horizontal="center"/>
    </xf>
    <xf numFmtId="8" fontId="3" fillId="4" borderId="13" xfId="38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11" fillId="3" borderId="6" xfId="37" applyFont="1" applyBorder="1" applyAlignment="1">
      <alignment vertical="center"/>
    </xf>
    <xf numFmtId="0" fontId="3" fillId="0" borderId="0" xfId="0" applyFont="1" applyAlignment="1">
      <alignment horizontal="right"/>
    </xf>
    <xf numFmtId="164" fontId="9" fillId="2" borderId="0" xfId="36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2"/>
    </xf>
    <xf numFmtId="6" fontId="9" fillId="2" borderId="0" xfId="36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9" fontId="3" fillId="0" borderId="9" xfId="0" applyNumberFormat="1" applyFont="1" applyBorder="1" applyAlignment="1">
      <alignment horizontal="center"/>
    </xf>
    <xf numFmtId="6" fontId="3" fillId="0" borderId="7" xfId="0" applyNumberFormat="1" applyFont="1" applyBorder="1" applyAlignment="1">
      <alignment horizontal="center"/>
    </xf>
    <xf numFmtId="6" fontId="9" fillId="2" borderId="6" xfId="36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6" fontId="9" fillId="2" borderId="11" xfId="36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6" fontId="3" fillId="0" borderId="0" xfId="0" applyNumberFormat="1" applyFont="1" applyFill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left"/>
    </xf>
    <xf numFmtId="165" fontId="15" fillId="0" borderId="0" xfId="35" applyNumberFormat="1" applyFont="1" applyAlignment="1">
      <alignment horizontal="left"/>
    </xf>
    <xf numFmtId="9" fontId="15" fillId="0" borderId="0" xfId="0" applyNumberFormat="1" applyFont="1"/>
    <xf numFmtId="0" fontId="15" fillId="0" borderId="0" xfId="0" applyFont="1" applyAlignment="1">
      <alignment horizontal="left"/>
    </xf>
    <xf numFmtId="165" fontId="15" fillId="0" borderId="0" xfId="35" applyNumberFormat="1" applyFont="1"/>
    <xf numFmtId="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5" fontId="3" fillId="0" borderId="13" xfId="0" applyNumberFormat="1" applyFont="1" applyBorder="1" applyAlignment="1">
      <alignment horizontal="center" vertical="center"/>
    </xf>
    <xf numFmtId="6" fontId="3" fillId="0" borderId="13" xfId="0" applyNumberFormat="1" applyFont="1" applyBorder="1" applyAlignment="1">
      <alignment horizontal="center" vertical="center"/>
    </xf>
    <xf numFmtId="8" fontId="3" fillId="0" borderId="1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6" fontId="3" fillId="0" borderId="0" xfId="0" applyNumberFormat="1" applyFont="1"/>
    <xf numFmtId="6" fontId="3" fillId="0" borderId="1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7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Border="1" applyAlignment="1"/>
    <xf numFmtId="6" fontId="3" fillId="0" borderId="1" xfId="35" applyNumberFormat="1" applyFont="1" applyBorder="1" applyAlignment="1"/>
    <xf numFmtId="4" fontId="3" fillId="0" borderId="1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vertical="center"/>
    </xf>
    <xf numFmtId="165" fontId="3" fillId="0" borderId="1" xfId="35" applyNumberFormat="1" applyFont="1" applyBorder="1" applyAlignment="1"/>
    <xf numFmtId="5" fontId="3" fillId="0" borderId="0" xfId="0" applyNumberFormat="1" applyFont="1"/>
    <xf numFmtId="39" fontId="3" fillId="4" borderId="13" xfId="38" applyNumberFormat="1" applyFont="1" applyBorder="1" applyAlignment="1">
      <alignment horizontal="center"/>
    </xf>
    <xf numFmtId="37" fontId="3" fillId="4" borderId="13" xfId="38" applyNumberFormat="1" applyFont="1" applyBorder="1" applyAlignment="1">
      <alignment horizontal="center"/>
    </xf>
    <xf numFmtId="37" fontId="3" fillId="0" borderId="0" xfId="0" applyNumberFormat="1" applyFont="1"/>
    <xf numFmtId="0" fontId="16" fillId="0" borderId="0" xfId="0" applyFont="1" applyAlignment="1">
      <alignment horizontal="center" vertical="center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5" fontId="16" fillId="0" borderId="0" xfId="35" applyNumberFormat="1" applyFont="1" applyFill="1" applyBorder="1" applyAlignment="1">
      <alignment horizontal="center" vertical="center" wrapText="1" readingOrder="1"/>
    </xf>
    <xf numFmtId="6" fontId="16" fillId="0" borderId="0" xfId="0" applyNumberFormat="1" applyFont="1" applyAlignment="1">
      <alignment horizontal="center" vertical="center" wrapText="1" readingOrder="1"/>
    </xf>
    <xf numFmtId="0" fontId="16" fillId="0" borderId="13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10" fontId="4" fillId="4" borderId="13" xfId="38" applyNumberFormat="1" applyBorder="1"/>
    <xf numFmtId="3" fontId="9" fillId="2" borderId="0" xfId="36" applyNumberFormat="1" applyAlignment="1">
      <alignment horizontal="center" vertical="center" wrapText="1"/>
    </xf>
    <xf numFmtId="0" fontId="9" fillId="2" borderId="0" xfId="36" applyAlignment="1">
      <alignment horizontal="center" vertical="center"/>
    </xf>
    <xf numFmtId="1" fontId="9" fillId="2" borderId="0" xfId="36" applyNumberFormat="1" applyAlignment="1">
      <alignment horizontal="center"/>
    </xf>
    <xf numFmtId="6" fontId="9" fillId="2" borderId="0" xfId="36" applyNumberFormat="1" applyAlignment="1">
      <alignment horizontal="center" vertical="center" wrapText="1" readingOrder="1"/>
    </xf>
    <xf numFmtId="5" fontId="9" fillId="2" borderId="0" xfId="36" applyNumberFormat="1" applyAlignment="1">
      <alignment horizontal="center"/>
    </xf>
    <xf numFmtId="0" fontId="3" fillId="0" borderId="8" xfId="0" applyFont="1" applyBorder="1" applyAlignment="1">
      <alignment horizontal="left"/>
    </xf>
    <xf numFmtId="10" fontId="3" fillId="0" borderId="8" xfId="1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</xf>
    <xf numFmtId="1" fontId="9" fillId="2" borderId="1" xfId="36" quotePrefix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6" fontId="19" fillId="2" borderId="7" xfId="36" applyNumberFormat="1" applyFont="1" applyBorder="1" applyAlignment="1">
      <alignment horizontal="center"/>
    </xf>
    <xf numFmtId="6" fontId="19" fillId="2" borderId="6" xfId="36" applyNumberFormat="1" applyFont="1" applyBorder="1" applyAlignment="1">
      <alignment horizontal="center"/>
    </xf>
    <xf numFmtId="6" fontId="19" fillId="2" borderId="0" xfId="36" applyNumberFormat="1" applyFont="1" applyAlignment="1">
      <alignment horizontal="center"/>
    </xf>
    <xf numFmtId="164" fontId="19" fillId="2" borderId="0" xfId="36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9" fillId="2" borderId="1" xfId="36" applyNumberFormat="1" applyFont="1" applyBorder="1" applyAlignment="1">
      <alignment horizontal="right"/>
    </xf>
    <xf numFmtId="3" fontId="19" fillId="2" borderId="1" xfId="36" applyNumberFormat="1" applyFont="1" applyBorder="1" applyAlignment="1">
      <alignment horizontal="center"/>
    </xf>
    <xf numFmtId="165" fontId="19" fillId="2" borderId="1" xfId="36" applyNumberFormat="1" applyFont="1" applyBorder="1" applyAlignment="1">
      <alignment horizontal="center"/>
    </xf>
    <xf numFmtId="164" fontId="19" fillId="2" borderId="1" xfId="1" applyNumberFormat="1" applyFont="1" applyFill="1" applyBorder="1" applyAlignment="1">
      <alignment horizontal="right"/>
    </xf>
    <xf numFmtId="10" fontId="19" fillId="2" borderId="1" xfId="1" applyNumberFormat="1" applyFont="1" applyFill="1" applyBorder="1" applyAlignment="1">
      <alignment horizontal="right"/>
    </xf>
    <xf numFmtId="6" fontId="19" fillId="2" borderId="1" xfId="36" applyNumberFormat="1" applyFont="1" applyBorder="1" applyAlignment="1"/>
    <xf numFmtId="10" fontId="19" fillId="2" borderId="1" xfId="36" applyNumberFormat="1" applyFont="1" applyBorder="1" applyAlignment="1">
      <alignment horizontal="center"/>
    </xf>
    <xf numFmtId="169" fontId="19" fillId="2" borderId="1" xfId="36" applyNumberFormat="1" applyFont="1" applyBorder="1" applyAlignment="1">
      <alignment horizontal="right"/>
    </xf>
    <xf numFmtId="6" fontId="19" fillId="2" borderId="0" xfId="36" applyNumberFormat="1" applyFont="1" applyAlignment="1">
      <alignment horizontal="center" vertical="center" wrapText="1" readingOrder="1"/>
    </xf>
    <xf numFmtId="10" fontId="19" fillId="2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1" fillId="5" borderId="0" xfId="39"/>
    <xf numFmtId="10" fontId="21" fillId="5" borderId="0" xfId="39" applyNumberFormat="1"/>
    <xf numFmtId="10" fontId="3" fillId="0" borderId="0" xfId="0" applyNumberFormat="1" applyFont="1"/>
    <xf numFmtId="10" fontId="9" fillId="2" borderId="0" xfId="36" applyNumberFormat="1" applyFont="1" applyAlignment="1">
      <alignment horizontal="center"/>
    </xf>
    <xf numFmtId="10" fontId="21" fillId="5" borderId="13" xfId="39" applyNumberFormat="1" applyBorder="1"/>
    <xf numFmtId="8" fontId="21" fillId="5" borderId="14" xfId="39" applyNumberFormat="1" applyBorder="1"/>
    <xf numFmtId="8" fontId="21" fillId="5" borderId="0" xfId="39" applyNumberFormat="1"/>
    <xf numFmtId="44" fontId="21" fillId="5" borderId="0" xfId="39" applyNumberFormat="1"/>
    <xf numFmtId="5" fontId="0" fillId="0" borderId="0" xfId="35" applyNumberFormat="1" applyFont="1"/>
    <xf numFmtId="5" fontId="21" fillId="5" borderId="0" xfId="39" applyNumberFormat="1"/>
    <xf numFmtId="7" fontId="0" fillId="0" borderId="0" xfId="35" applyNumberFormat="1" applyFont="1"/>
    <xf numFmtId="7" fontId="21" fillId="5" borderId="0" xfId="39" applyNumberFormat="1"/>
    <xf numFmtId="164" fontId="21" fillId="5" borderId="0" xfId="39" applyNumberFormat="1" applyAlignment="1">
      <alignment horizontal="center"/>
    </xf>
    <xf numFmtId="10" fontId="21" fillId="5" borderId="0" xfId="39" applyNumberFormat="1" applyAlignment="1">
      <alignment horizontal="center"/>
    </xf>
    <xf numFmtId="0" fontId="10" fillId="3" borderId="0" xfId="37" applyFont="1" applyAlignment="1">
      <alignment horizontal="center" vertical="center" wrapText="1" readingOrder="1"/>
    </xf>
    <xf numFmtId="0" fontId="10" fillId="3" borderId="0" xfId="37" applyFont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1" fillId="3" borderId="0" xfId="37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1" fillId="3" borderId="5" xfId="37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</cellXfs>
  <cellStyles count="40">
    <cellStyle name="20% - Accent5" xfId="38" builtinId="46"/>
    <cellStyle name="Accent5" xfId="37" builtinId="45"/>
    <cellStyle name="Currency" xfId="3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36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eutral" xfId="39" builtinId="28"/>
    <cellStyle name="Normal" xfId="0" builtinId="0"/>
    <cellStyle name="Normal 2" xfId="2" xr:uid="{00000000-0005-0000-0000-000022000000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11A-67FB-4972-B274-3CD21F0DA75A}">
  <dimension ref="A1:L53"/>
  <sheetViews>
    <sheetView zoomScaleNormal="100" workbookViewId="0">
      <selection activeCell="K33" sqref="K33"/>
    </sheetView>
  </sheetViews>
  <sheetFormatPr baseColWidth="10" defaultColWidth="9.1640625" defaultRowHeight="16"/>
  <cols>
    <col min="1" max="1" width="10.33203125" style="57" bestFit="1" customWidth="1"/>
    <col min="2" max="2" width="13.83203125" style="57" bestFit="1" customWidth="1"/>
    <col min="3" max="3" width="10.5" style="57" bestFit="1" customWidth="1"/>
    <col min="4" max="4" width="17" style="57" bestFit="1" customWidth="1"/>
    <col min="5" max="5" width="14.6640625" style="57" bestFit="1" customWidth="1"/>
    <col min="6" max="6" width="11.5" style="57" bestFit="1" customWidth="1"/>
    <col min="7" max="7" width="17" style="57" bestFit="1" customWidth="1"/>
    <col min="8" max="10" width="15.1640625" style="57" bestFit="1" customWidth="1"/>
    <col min="11" max="11" width="8.33203125" style="57" customWidth="1"/>
    <col min="12" max="12" width="9.1640625" style="57"/>
    <col min="13" max="13" width="9.83203125" style="57" bestFit="1" customWidth="1"/>
    <col min="14" max="14" width="10.6640625" style="57" bestFit="1" customWidth="1"/>
    <col min="15" max="15" width="9.1640625" style="57"/>
    <col min="16" max="16" width="12.5" style="57" bestFit="1" customWidth="1"/>
    <col min="17" max="17" width="22" style="57" bestFit="1" customWidth="1"/>
    <col min="18" max="18" width="18" style="57" customWidth="1"/>
    <col min="19" max="19" width="14.6640625" style="57" bestFit="1" customWidth="1"/>
    <col min="20" max="20" width="12.1640625" style="57" bestFit="1" customWidth="1"/>
    <col min="21" max="21" width="17" style="57" bestFit="1" customWidth="1"/>
    <col min="22" max="22" width="22.6640625" style="57" bestFit="1" customWidth="1"/>
    <col min="23" max="24" width="15.1640625" style="57" bestFit="1" customWidth="1"/>
    <col min="25" max="25" width="9.1640625" style="57"/>
    <col min="26" max="26" width="8.33203125" style="57" bestFit="1" customWidth="1"/>
    <col min="27" max="16384" width="9.1640625" style="57"/>
  </cols>
  <sheetData>
    <row r="1" spans="1:12">
      <c r="A1" s="22"/>
      <c r="B1" s="22"/>
      <c r="C1" s="22"/>
      <c r="D1" s="22"/>
      <c r="E1" s="22"/>
      <c r="F1" s="22"/>
      <c r="G1" s="140" t="s">
        <v>37</v>
      </c>
      <c r="H1" s="140"/>
      <c r="I1" s="140"/>
      <c r="J1" s="140"/>
      <c r="K1" s="140"/>
    </row>
    <row r="2" spans="1:12" ht="15" customHeight="1">
      <c r="A2" s="139" t="s">
        <v>5</v>
      </c>
      <c r="B2" s="139" t="s">
        <v>24</v>
      </c>
      <c r="C2" s="139" t="s">
        <v>29</v>
      </c>
      <c r="D2" s="139" t="s">
        <v>33</v>
      </c>
      <c r="E2" s="139" t="s">
        <v>32</v>
      </c>
      <c r="F2" s="139" t="s">
        <v>30</v>
      </c>
      <c r="G2" s="139" t="s">
        <v>31</v>
      </c>
      <c r="H2" s="139" t="s">
        <v>34</v>
      </c>
      <c r="I2" s="139" t="s">
        <v>35</v>
      </c>
      <c r="J2" s="139" t="s">
        <v>66</v>
      </c>
      <c r="K2" s="139" t="s">
        <v>42</v>
      </c>
      <c r="L2" s="58"/>
    </row>
    <row r="3" spans="1:12" ht="15" customHeigh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58"/>
    </row>
    <row r="4" spans="1:12" ht="15" customHeight="1">
      <c r="A4" s="102">
        <v>1</v>
      </c>
      <c r="B4" s="86" t="s">
        <v>84</v>
      </c>
      <c r="C4" s="87">
        <v>690</v>
      </c>
      <c r="D4" s="88">
        <v>750</v>
      </c>
      <c r="E4" s="24">
        <f t="shared" ref="E4:E14" si="0">D4*12</f>
        <v>9000</v>
      </c>
      <c r="F4" s="26">
        <f t="shared" ref="F4:F14" si="1">D4/C4</f>
        <v>1.0869565217391304</v>
      </c>
      <c r="G4" s="89">
        <v>775</v>
      </c>
      <c r="H4" s="24">
        <f t="shared" ref="H4:H14" si="2">G4*12</f>
        <v>9300</v>
      </c>
      <c r="I4" s="26">
        <f t="shared" ref="I4:I14" si="3">G4/C4</f>
        <v>1.1231884057971016</v>
      </c>
      <c r="J4" s="65">
        <f t="shared" ref="J4:J14" si="4">G4-D4</f>
        <v>25</v>
      </c>
      <c r="K4" s="66">
        <f t="shared" ref="K4:K14" si="5">G4/D4-1</f>
        <v>3.3333333333333437E-2</v>
      </c>
      <c r="L4" s="58"/>
    </row>
    <row r="5" spans="1:12" ht="15" customHeight="1">
      <c r="A5" s="102">
        <v>2</v>
      </c>
      <c r="B5" s="86" t="s">
        <v>84</v>
      </c>
      <c r="C5" s="87">
        <v>690</v>
      </c>
      <c r="D5" s="88">
        <v>750</v>
      </c>
      <c r="E5" s="24">
        <f t="shared" si="0"/>
        <v>9000</v>
      </c>
      <c r="F5" s="26">
        <f t="shared" si="1"/>
        <v>1.0869565217391304</v>
      </c>
      <c r="G5" s="89">
        <v>775</v>
      </c>
      <c r="H5" s="24">
        <f t="shared" si="2"/>
        <v>9300</v>
      </c>
      <c r="I5" s="26">
        <f t="shared" si="3"/>
        <v>1.1231884057971016</v>
      </c>
      <c r="J5" s="65">
        <f t="shared" si="4"/>
        <v>25</v>
      </c>
      <c r="K5" s="66">
        <f t="shared" si="5"/>
        <v>3.3333333333333437E-2</v>
      </c>
      <c r="L5" s="58"/>
    </row>
    <row r="6" spans="1:12" ht="15" customHeight="1">
      <c r="A6" s="102">
        <v>3</v>
      </c>
      <c r="B6" s="86" t="s">
        <v>84</v>
      </c>
      <c r="C6" s="87">
        <v>690</v>
      </c>
      <c r="D6" s="88">
        <v>750</v>
      </c>
      <c r="E6" s="24">
        <f t="shared" si="0"/>
        <v>9000</v>
      </c>
      <c r="F6" s="26">
        <f t="shared" si="1"/>
        <v>1.0869565217391304</v>
      </c>
      <c r="G6" s="89">
        <v>775</v>
      </c>
      <c r="H6" s="24">
        <f t="shared" si="2"/>
        <v>9300</v>
      </c>
      <c r="I6" s="26">
        <f t="shared" si="3"/>
        <v>1.1231884057971016</v>
      </c>
      <c r="J6" s="65">
        <f t="shared" si="4"/>
        <v>25</v>
      </c>
      <c r="K6" s="66">
        <f t="shared" si="5"/>
        <v>3.3333333333333437E-2</v>
      </c>
      <c r="L6" s="58"/>
    </row>
    <row r="7" spans="1:12" ht="15" customHeight="1">
      <c r="A7" s="102">
        <v>4</v>
      </c>
      <c r="B7" s="86" t="s">
        <v>84</v>
      </c>
      <c r="C7" s="87">
        <v>690</v>
      </c>
      <c r="D7" s="88">
        <v>750</v>
      </c>
      <c r="E7" s="24">
        <f t="shared" si="0"/>
        <v>9000</v>
      </c>
      <c r="F7" s="26">
        <f t="shared" si="1"/>
        <v>1.0869565217391304</v>
      </c>
      <c r="G7" s="89">
        <v>775</v>
      </c>
      <c r="H7" s="24">
        <f t="shared" si="2"/>
        <v>9300</v>
      </c>
      <c r="I7" s="26">
        <f t="shared" si="3"/>
        <v>1.1231884057971016</v>
      </c>
      <c r="J7" s="65">
        <f t="shared" si="4"/>
        <v>25</v>
      </c>
      <c r="K7" s="66">
        <f t="shared" si="5"/>
        <v>3.3333333333333437E-2</v>
      </c>
      <c r="L7" s="58"/>
    </row>
    <row r="8" spans="1:12" ht="15" customHeight="1">
      <c r="A8" s="102">
        <v>5</v>
      </c>
      <c r="B8" s="86" t="s">
        <v>84</v>
      </c>
      <c r="C8" s="87">
        <v>690</v>
      </c>
      <c r="D8" s="88">
        <v>750</v>
      </c>
      <c r="E8" s="24">
        <f t="shared" si="0"/>
        <v>9000</v>
      </c>
      <c r="F8" s="26">
        <f t="shared" si="1"/>
        <v>1.0869565217391304</v>
      </c>
      <c r="G8" s="89">
        <v>775</v>
      </c>
      <c r="H8" s="24">
        <f t="shared" si="2"/>
        <v>9300</v>
      </c>
      <c r="I8" s="26">
        <f t="shared" si="3"/>
        <v>1.1231884057971016</v>
      </c>
      <c r="J8" s="65">
        <f t="shared" si="4"/>
        <v>25</v>
      </c>
      <c r="K8" s="66">
        <f t="shared" si="5"/>
        <v>3.3333333333333437E-2</v>
      </c>
      <c r="L8" s="58"/>
    </row>
    <row r="9" spans="1:12" ht="15" customHeight="1">
      <c r="A9" s="102">
        <v>6</v>
      </c>
      <c r="B9" s="86" t="s">
        <v>84</v>
      </c>
      <c r="C9" s="87">
        <v>690</v>
      </c>
      <c r="D9" s="88">
        <v>750</v>
      </c>
      <c r="E9" s="24">
        <f t="shared" si="0"/>
        <v>9000</v>
      </c>
      <c r="F9" s="26">
        <f t="shared" si="1"/>
        <v>1.0869565217391304</v>
      </c>
      <c r="G9" s="89">
        <v>775</v>
      </c>
      <c r="H9" s="24">
        <f t="shared" si="2"/>
        <v>9300</v>
      </c>
      <c r="I9" s="26">
        <f t="shared" si="3"/>
        <v>1.1231884057971016</v>
      </c>
      <c r="J9" s="65">
        <f t="shared" si="4"/>
        <v>25</v>
      </c>
      <c r="K9" s="66">
        <f t="shared" si="5"/>
        <v>3.3333333333333437E-2</v>
      </c>
      <c r="L9" s="58"/>
    </row>
    <row r="10" spans="1:12" ht="15" customHeight="1">
      <c r="A10" s="102">
        <v>7</v>
      </c>
      <c r="B10" s="86" t="s">
        <v>84</v>
      </c>
      <c r="C10" s="87">
        <v>690</v>
      </c>
      <c r="D10" s="88">
        <v>750</v>
      </c>
      <c r="E10" s="24">
        <f t="shared" si="0"/>
        <v>9000</v>
      </c>
      <c r="F10" s="26">
        <f t="shared" si="1"/>
        <v>1.0869565217391304</v>
      </c>
      <c r="G10" s="89">
        <v>775</v>
      </c>
      <c r="H10" s="24">
        <f t="shared" si="2"/>
        <v>9300</v>
      </c>
      <c r="I10" s="26">
        <f t="shared" si="3"/>
        <v>1.1231884057971016</v>
      </c>
      <c r="J10" s="65">
        <f t="shared" si="4"/>
        <v>25</v>
      </c>
      <c r="K10" s="66">
        <f t="shared" si="5"/>
        <v>3.3333333333333437E-2</v>
      </c>
      <c r="L10" s="58"/>
    </row>
    <row r="11" spans="1:12" ht="15" customHeight="1">
      <c r="A11" s="102">
        <v>8</v>
      </c>
      <c r="B11" s="86" t="s">
        <v>84</v>
      </c>
      <c r="C11" s="87">
        <v>690</v>
      </c>
      <c r="D11" s="88">
        <v>750</v>
      </c>
      <c r="E11" s="24">
        <f t="shared" si="0"/>
        <v>9000</v>
      </c>
      <c r="F11" s="26">
        <f t="shared" si="1"/>
        <v>1.0869565217391304</v>
      </c>
      <c r="G11" s="89">
        <v>775</v>
      </c>
      <c r="H11" s="24">
        <f t="shared" si="2"/>
        <v>9300</v>
      </c>
      <c r="I11" s="26">
        <f t="shared" si="3"/>
        <v>1.1231884057971016</v>
      </c>
      <c r="J11" s="65">
        <f t="shared" si="4"/>
        <v>25</v>
      </c>
      <c r="K11" s="66">
        <f t="shared" si="5"/>
        <v>3.3333333333333437E-2</v>
      </c>
      <c r="L11" s="58"/>
    </row>
    <row r="12" spans="1:12" ht="15" customHeight="1">
      <c r="A12" s="102">
        <v>9</v>
      </c>
      <c r="B12" s="86" t="s">
        <v>84</v>
      </c>
      <c r="C12" s="87">
        <v>690</v>
      </c>
      <c r="D12" s="88">
        <v>750</v>
      </c>
      <c r="E12" s="24">
        <f t="shared" si="0"/>
        <v>9000</v>
      </c>
      <c r="F12" s="26">
        <f t="shared" si="1"/>
        <v>1.0869565217391304</v>
      </c>
      <c r="G12" s="89">
        <v>775</v>
      </c>
      <c r="H12" s="24">
        <f t="shared" si="2"/>
        <v>9300</v>
      </c>
      <c r="I12" s="26">
        <f t="shared" si="3"/>
        <v>1.1231884057971016</v>
      </c>
      <c r="J12" s="65">
        <f t="shared" si="4"/>
        <v>25</v>
      </c>
      <c r="K12" s="66">
        <f t="shared" si="5"/>
        <v>3.3333333333333437E-2</v>
      </c>
      <c r="L12" s="58"/>
    </row>
    <row r="13" spans="1:12" ht="15" customHeight="1">
      <c r="A13" s="102">
        <v>10</v>
      </c>
      <c r="B13" s="86" t="s">
        <v>84</v>
      </c>
      <c r="C13" s="87">
        <v>690</v>
      </c>
      <c r="D13" s="88">
        <v>750</v>
      </c>
      <c r="E13" s="24">
        <f t="shared" si="0"/>
        <v>9000</v>
      </c>
      <c r="F13" s="26">
        <f t="shared" si="1"/>
        <v>1.0869565217391304</v>
      </c>
      <c r="G13" s="89">
        <v>775</v>
      </c>
      <c r="H13" s="24">
        <f t="shared" si="2"/>
        <v>9300</v>
      </c>
      <c r="I13" s="26">
        <f t="shared" si="3"/>
        <v>1.1231884057971016</v>
      </c>
      <c r="J13" s="65">
        <f t="shared" si="4"/>
        <v>25</v>
      </c>
      <c r="K13" s="66">
        <f t="shared" si="5"/>
        <v>3.3333333333333437E-2</v>
      </c>
      <c r="L13" s="58"/>
    </row>
    <row r="14" spans="1:12" ht="15" customHeight="1">
      <c r="A14" s="102">
        <v>11</v>
      </c>
      <c r="B14" s="86" t="s">
        <v>84</v>
      </c>
      <c r="C14" s="87">
        <v>690</v>
      </c>
      <c r="D14" s="88">
        <v>750</v>
      </c>
      <c r="E14" s="24">
        <f t="shared" si="0"/>
        <v>9000</v>
      </c>
      <c r="F14" s="26">
        <f t="shared" si="1"/>
        <v>1.0869565217391304</v>
      </c>
      <c r="G14" s="89">
        <v>775</v>
      </c>
      <c r="H14" s="24">
        <f t="shared" si="2"/>
        <v>9300</v>
      </c>
      <c r="I14" s="26">
        <f t="shared" si="3"/>
        <v>1.1231884057971016</v>
      </c>
      <c r="J14" s="65">
        <f t="shared" si="4"/>
        <v>25</v>
      </c>
      <c r="K14" s="66">
        <f t="shared" si="5"/>
        <v>3.3333333333333437E-2</v>
      </c>
      <c r="L14" s="58"/>
    </row>
    <row r="15" spans="1:12" ht="17">
      <c r="A15" s="102">
        <v>12</v>
      </c>
      <c r="B15" s="86" t="s">
        <v>84</v>
      </c>
      <c r="C15" s="87">
        <v>690</v>
      </c>
      <c r="D15" s="88">
        <v>750</v>
      </c>
      <c r="E15" s="24">
        <f t="shared" ref="E15:E31" si="6">D15*12</f>
        <v>9000</v>
      </c>
      <c r="F15" s="26">
        <f t="shared" ref="F15:F31" si="7">D15/C15</f>
        <v>1.0869565217391304</v>
      </c>
      <c r="G15" s="89">
        <v>775</v>
      </c>
      <c r="H15" s="24">
        <f t="shared" ref="H15:H24" si="8">G15*12</f>
        <v>9300</v>
      </c>
      <c r="I15" s="26">
        <f t="shared" ref="I15:I24" si="9">G15/C15</f>
        <v>1.1231884057971016</v>
      </c>
      <c r="J15" s="65">
        <f t="shared" ref="J15:J31" si="10">G15-D15</f>
        <v>25</v>
      </c>
      <c r="K15" s="66">
        <f t="shared" ref="K15:K31" si="11">G15/D15-1</f>
        <v>3.3333333333333437E-2</v>
      </c>
    </row>
    <row r="16" spans="1:12" ht="17">
      <c r="A16" s="102">
        <v>13</v>
      </c>
      <c r="B16" s="86" t="s">
        <v>84</v>
      </c>
      <c r="C16" s="87">
        <v>690</v>
      </c>
      <c r="D16" s="88">
        <v>750</v>
      </c>
      <c r="E16" s="24">
        <f t="shared" si="6"/>
        <v>9000</v>
      </c>
      <c r="F16" s="26">
        <f t="shared" si="7"/>
        <v>1.0869565217391304</v>
      </c>
      <c r="G16" s="89">
        <v>775</v>
      </c>
      <c r="H16" s="24">
        <f t="shared" si="8"/>
        <v>9300</v>
      </c>
      <c r="I16" s="26">
        <f t="shared" si="9"/>
        <v>1.1231884057971016</v>
      </c>
      <c r="J16" s="65">
        <f t="shared" si="10"/>
        <v>25</v>
      </c>
      <c r="K16" s="66">
        <f t="shared" si="11"/>
        <v>3.3333333333333437E-2</v>
      </c>
    </row>
    <row r="17" spans="1:11" ht="17">
      <c r="A17" s="102">
        <v>14</v>
      </c>
      <c r="B17" s="86" t="s">
        <v>84</v>
      </c>
      <c r="C17" s="87">
        <v>690</v>
      </c>
      <c r="D17" s="88">
        <v>750</v>
      </c>
      <c r="E17" s="24">
        <f t="shared" si="6"/>
        <v>9000</v>
      </c>
      <c r="F17" s="26">
        <f t="shared" si="7"/>
        <v>1.0869565217391304</v>
      </c>
      <c r="G17" s="89">
        <v>775</v>
      </c>
      <c r="H17" s="24">
        <f t="shared" si="8"/>
        <v>9300</v>
      </c>
      <c r="I17" s="26">
        <f t="shared" si="9"/>
        <v>1.1231884057971016</v>
      </c>
      <c r="J17" s="65">
        <f t="shared" si="10"/>
        <v>25</v>
      </c>
      <c r="K17" s="66">
        <f t="shared" si="11"/>
        <v>3.3333333333333437E-2</v>
      </c>
    </row>
    <row r="18" spans="1:11" ht="17">
      <c r="A18" s="102">
        <v>15</v>
      </c>
      <c r="B18" s="86" t="s">
        <v>84</v>
      </c>
      <c r="C18" s="87">
        <v>690</v>
      </c>
      <c r="D18" s="88">
        <v>750</v>
      </c>
      <c r="E18" s="24">
        <f t="shared" si="6"/>
        <v>9000</v>
      </c>
      <c r="F18" s="26">
        <f t="shared" si="7"/>
        <v>1.0869565217391304</v>
      </c>
      <c r="G18" s="89">
        <v>775</v>
      </c>
      <c r="H18" s="24">
        <f t="shared" si="8"/>
        <v>9300</v>
      </c>
      <c r="I18" s="26">
        <f t="shared" si="9"/>
        <v>1.1231884057971016</v>
      </c>
      <c r="J18" s="65">
        <f t="shared" si="10"/>
        <v>25</v>
      </c>
      <c r="K18" s="66">
        <f t="shared" si="11"/>
        <v>3.3333333333333437E-2</v>
      </c>
    </row>
    <row r="19" spans="1:11" ht="17">
      <c r="A19" s="102">
        <v>16</v>
      </c>
      <c r="B19" s="86" t="s">
        <v>84</v>
      </c>
      <c r="C19" s="87">
        <v>690</v>
      </c>
      <c r="D19" s="88">
        <v>750</v>
      </c>
      <c r="E19" s="24">
        <f t="shared" si="6"/>
        <v>9000</v>
      </c>
      <c r="F19" s="26">
        <f t="shared" si="7"/>
        <v>1.0869565217391304</v>
      </c>
      <c r="G19" s="89">
        <v>775</v>
      </c>
      <c r="H19" s="24">
        <f t="shared" si="8"/>
        <v>9300</v>
      </c>
      <c r="I19" s="26">
        <f t="shared" si="9"/>
        <v>1.1231884057971016</v>
      </c>
      <c r="J19" s="65">
        <f t="shared" si="10"/>
        <v>25</v>
      </c>
      <c r="K19" s="66">
        <f t="shared" si="11"/>
        <v>3.3333333333333437E-2</v>
      </c>
    </row>
    <row r="20" spans="1:11" ht="17">
      <c r="A20" s="102">
        <v>17</v>
      </c>
      <c r="B20" s="86" t="s">
        <v>85</v>
      </c>
      <c r="C20" s="87">
        <v>1070</v>
      </c>
      <c r="D20" s="88">
        <v>975</v>
      </c>
      <c r="E20" s="24">
        <f t="shared" si="6"/>
        <v>11700</v>
      </c>
      <c r="F20" s="26">
        <f t="shared" si="7"/>
        <v>0.91121495327102808</v>
      </c>
      <c r="G20" s="89">
        <v>1025</v>
      </c>
      <c r="H20" s="24">
        <f t="shared" si="8"/>
        <v>12300</v>
      </c>
      <c r="I20" s="26">
        <f t="shared" si="9"/>
        <v>0.95794392523364491</v>
      </c>
      <c r="J20" s="65">
        <f t="shared" si="10"/>
        <v>50</v>
      </c>
      <c r="K20" s="66">
        <f t="shared" si="11"/>
        <v>5.1282051282051322E-2</v>
      </c>
    </row>
    <row r="21" spans="1:11" ht="17">
      <c r="A21" s="102">
        <v>18</v>
      </c>
      <c r="B21" s="86" t="s">
        <v>85</v>
      </c>
      <c r="C21" s="87">
        <v>1070</v>
      </c>
      <c r="D21" s="88">
        <v>975</v>
      </c>
      <c r="E21" s="24">
        <f t="shared" si="6"/>
        <v>11700</v>
      </c>
      <c r="F21" s="26">
        <f t="shared" si="7"/>
        <v>0.91121495327102808</v>
      </c>
      <c r="G21" s="89">
        <v>1025</v>
      </c>
      <c r="H21" s="24">
        <f t="shared" si="8"/>
        <v>12300</v>
      </c>
      <c r="I21" s="26">
        <f t="shared" si="9"/>
        <v>0.95794392523364491</v>
      </c>
      <c r="J21" s="65">
        <f t="shared" si="10"/>
        <v>50</v>
      </c>
      <c r="K21" s="66">
        <f t="shared" si="11"/>
        <v>5.1282051282051322E-2</v>
      </c>
    </row>
    <row r="22" spans="1:11" ht="17">
      <c r="A22" s="102">
        <v>19</v>
      </c>
      <c r="B22" s="86" t="s">
        <v>85</v>
      </c>
      <c r="C22" s="87">
        <v>1070</v>
      </c>
      <c r="D22" s="88">
        <v>975</v>
      </c>
      <c r="E22" s="24">
        <f t="shared" si="6"/>
        <v>11700</v>
      </c>
      <c r="F22" s="26">
        <f t="shared" si="7"/>
        <v>0.91121495327102808</v>
      </c>
      <c r="G22" s="89">
        <v>1025</v>
      </c>
      <c r="H22" s="24">
        <f t="shared" si="8"/>
        <v>12300</v>
      </c>
      <c r="I22" s="26">
        <f t="shared" si="9"/>
        <v>0.95794392523364491</v>
      </c>
      <c r="J22" s="65">
        <f t="shared" si="10"/>
        <v>50</v>
      </c>
      <c r="K22" s="66">
        <f t="shared" si="11"/>
        <v>5.1282051282051322E-2</v>
      </c>
    </row>
    <row r="23" spans="1:11" ht="17">
      <c r="A23" s="102">
        <v>20</v>
      </c>
      <c r="B23" s="86" t="s">
        <v>85</v>
      </c>
      <c r="C23" s="87">
        <v>1070</v>
      </c>
      <c r="D23" s="88">
        <v>975</v>
      </c>
      <c r="E23" s="24">
        <f t="shared" si="6"/>
        <v>11700</v>
      </c>
      <c r="F23" s="26">
        <f t="shared" si="7"/>
        <v>0.91121495327102808</v>
      </c>
      <c r="G23" s="89">
        <v>1025</v>
      </c>
      <c r="H23" s="24">
        <f t="shared" si="8"/>
        <v>12300</v>
      </c>
      <c r="I23" s="26">
        <f t="shared" si="9"/>
        <v>0.95794392523364491</v>
      </c>
      <c r="J23" s="65">
        <f t="shared" si="10"/>
        <v>50</v>
      </c>
      <c r="K23" s="66">
        <f t="shared" si="11"/>
        <v>5.1282051282051322E-2</v>
      </c>
    </row>
    <row r="24" spans="1:11" ht="17">
      <c r="A24" s="102">
        <v>21</v>
      </c>
      <c r="B24" s="86" t="s">
        <v>85</v>
      </c>
      <c r="C24" s="87">
        <v>1070</v>
      </c>
      <c r="D24" s="88">
        <v>975</v>
      </c>
      <c r="E24" s="24">
        <f t="shared" si="6"/>
        <v>11700</v>
      </c>
      <c r="F24" s="26">
        <f t="shared" si="7"/>
        <v>0.91121495327102808</v>
      </c>
      <c r="G24" s="89">
        <v>1025</v>
      </c>
      <c r="H24" s="24">
        <f t="shared" si="8"/>
        <v>12300</v>
      </c>
      <c r="I24" s="26">
        <f t="shared" si="9"/>
        <v>0.95794392523364491</v>
      </c>
      <c r="J24" s="65">
        <f t="shared" si="10"/>
        <v>50</v>
      </c>
      <c r="K24" s="66">
        <f t="shared" si="11"/>
        <v>5.1282051282051322E-2</v>
      </c>
    </row>
    <row r="25" spans="1:11" ht="17">
      <c r="A25" s="102">
        <v>22</v>
      </c>
      <c r="B25" s="86" t="s">
        <v>85</v>
      </c>
      <c r="C25" s="87">
        <v>1070</v>
      </c>
      <c r="D25" s="88">
        <v>975</v>
      </c>
      <c r="E25" s="24">
        <f t="shared" si="6"/>
        <v>11700</v>
      </c>
      <c r="F25" s="26">
        <f t="shared" si="7"/>
        <v>0.91121495327102808</v>
      </c>
      <c r="G25" s="89">
        <v>1025</v>
      </c>
      <c r="H25" s="24">
        <f t="shared" ref="H25:H31" si="12">G25*12</f>
        <v>12300</v>
      </c>
      <c r="I25" s="26">
        <f t="shared" ref="I25:I31" si="13">G25/C25</f>
        <v>0.95794392523364491</v>
      </c>
      <c r="J25" s="65">
        <f t="shared" si="10"/>
        <v>50</v>
      </c>
      <c r="K25" s="66">
        <f t="shared" si="11"/>
        <v>5.1282051282051322E-2</v>
      </c>
    </row>
    <row r="26" spans="1:11" ht="17">
      <c r="A26" s="102">
        <v>23</v>
      </c>
      <c r="B26" s="86" t="s">
        <v>85</v>
      </c>
      <c r="C26" s="87">
        <v>1070</v>
      </c>
      <c r="D26" s="88">
        <v>975</v>
      </c>
      <c r="E26" s="24">
        <f t="shared" si="6"/>
        <v>11700</v>
      </c>
      <c r="F26" s="26">
        <f t="shared" si="7"/>
        <v>0.91121495327102808</v>
      </c>
      <c r="G26" s="89">
        <v>1025</v>
      </c>
      <c r="H26" s="24">
        <f t="shared" si="12"/>
        <v>12300</v>
      </c>
      <c r="I26" s="26">
        <f t="shared" si="13"/>
        <v>0.95794392523364491</v>
      </c>
      <c r="J26" s="65">
        <f t="shared" si="10"/>
        <v>50</v>
      </c>
      <c r="K26" s="66">
        <f t="shared" si="11"/>
        <v>5.1282051282051322E-2</v>
      </c>
    </row>
    <row r="27" spans="1:11" ht="17">
      <c r="A27" s="102">
        <v>24</v>
      </c>
      <c r="B27" s="86" t="s">
        <v>85</v>
      </c>
      <c r="C27" s="87">
        <v>1070</v>
      </c>
      <c r="D27" s="88">
        <v>975</v>
      </c>
      <c r="E27" s="24">
        <f t="shared" si="6"/>
        <v>11700</v>
      </c>
      <c r="F27" s="26">
        <f t="shared" si="7"/>
        <v>0.91121495327102808</v>
      </c>
      <c r="G27" s="89">
        <v>1025</v>
      </c>
      <c r="H27" s="24">
        <f t="shared" si="12"/>
        <v>12300</v>
      </c>
      <c r="I27" s="26">
        <f t="shared" si="13"/>
        <v>0.95794392523364491</v>
      </c>
      <c r="J27" s="65">
        <f t="shared" si="10"/>
        <v>50</v>
      </c>
      <c r="K27" s="66">
        <f t="shared" si="11"/>
        <v>5.1282051282051322E-2</v>
      </c>
    </row>
    <row r="28" spans="1:11" ht="17">
      <c r="A28" s="102">
        <v>25</v>
      </c>
      <c r="B28" s="86" t="s">
        <v>85</v>
      </c>
      <c r="C28" s="87">
        <v>1070</v>
      </c>
      <c r="D28" s="88">
        <v>975</v>
      </c>
      <c r="E28" s="24">
        <f t="shared" si="6"/>
        <v>11700</v>
      </c>
      <c r="F28" s="26">
        <f t="shared" si="7"/>
        <v>0.91121495327102808</v>
      </c>
      <c r="G28" s="89">
        <v>1025</v>
      </c>
      <c r="H28" s="24">
        <f t="shared" si="12"/>
        <v>12300</v>
      </c>
      <c r="I28" s="26">
        <f t="shared" si="13"/>
        <v>0.95794392523364491</v>
      </c>
      <c r="J28" s="65">
        <f t="shared" si="10"/>
        <v>50</v>
      </c>
      <c r="K28" s="66">
        <f t="shared" si="11"/>
        <v>5.1282051282051322E-2</v>
      </c>
    </row>
    <row r="29" spans="1:11" ht="17">
      <c r="A29" s="102">
        <v>26</v>
      </c>
      <c r="B29" s="86" t="s">
        <v>85</v>
      </c>
      <c r="C29" s="87">
        <v>1070</v>
      </c>
      <c r="D29" s="88">
        <v>975</v>
      </c>
      <c r="E29" s="24">
        <f t="shared" si="6"/>
        <v>11700</v>
      </c>
      <c r="F29" s="26">
        <f t="shared" si="7"/>
        <v>0.91121495327102808</v>
      </c>
      <c r="G29" s="89">
        <v>1025</v>
      </c>
      <c r="H29" s="24">
        <f t="shared" si="12"/>
        <v>12300</v>
      </c>
      <c r="I29" s="26">
        <f t="shared" si="13"/>
        <v>0.95794392523364491</v>
      </c>
      <c r="J29" s="65">
        <f t="shared" si="10"/>
        <v>50</v>
      </c>
      <c r="K29" s="66">
        <f t="shared" si="11"/>
        <v>5.1282051282051322E-2</v>
      </c>
    </row>
    <row r="30" spans="1:11" ht="17">
      <c r="A30" s="102">
        <v>27</v>
      </c>
      <c r="B30" s="86" t="s">
        <v>85</v>
      </c>
      <c r="C30" s="87">
        <v>1070</v>
      </c>
      <c r="D30" s="88">
        <v>975</v>
      </c>
      <c r="E30" s="24">
        <f t="shared" si="6"/>
        <v>11700</v>
      </c>
      <c r="F30" s="26">
        <f t="shared" si="7"/>
        <v>0.91121495327102808</v>
      </c>
      <c r="G30" s="89">
        <v>1025</v>
      </c>
      <c r="H30" s="24">
        <f t="shared" si="12"/>
        <v>12300</v>
      </c>
      <c r="I30" s="26">
        <f t="shared" si="13"/>
        <v>0.95794392523364491</v>
      </c>
      <c r="J30" s="65">
        <f t="shared" si="10"/>
        <v>50</v>
      </c>
      <c r="K30" s="66">
        <f t="shared" si="11"/>
        <v>5.1282051282051322E-2</v>
      </c>
    </row>
    <row r="31" spans="1:11" ht="17">
      <c r="A31" s="102">
        <v>28</v>
      </c>
      <c r="B31" s="86" t="s">
        <v>85</v>
      </c>
      <c r="C31" s="87">
        <v>1070</v>
      </c>
      <c r="D31" s="88">
        <v>975</v>
      </c>
      <c r="E31" s="24">
        <f t="shared" si="6"/>
        <v>11700</v>
      </c>
      <c r="F31" s="26">
        <f t="shared" si="7"/>
        <v>0.91121495327102808</v>
      </c>
      <c r="G31" s="89">
        <v>1025</v>
      </c>
      <c r="H31" s="24">
        <f t="shared" si="12"/>
        <v>12300</v>
      </c>
      <c r="I31" s="26">
        <f t="shared" si="13"/>
        <v>0.95794392523364491</v>
      </c>
      <c r="J31" s="65">
        <f t="shared" si="10"/>
        <v>50</v>
      </c>
      <c r="K31" s="66">
        <f t="shared" si="11"/>
        <v>5.1282051282051322E-2</v>
      </c>
    </row>
    <row r="32" spans="1:11">
      <c r="A32" s="67"/>
      <c r="B32" s="90"/>
      <c r="C32" s="68"/>
      <c r="D32" s="69">
        <f>SUM(D4:D31)</f>
        <v>23700</v>
      </c>
      <c r="E32" s="69">
        <f>SUM(E4:E31)</f>
        <v>284400</v>
      </c>
      <c r="F32" s="71">
        <f>AVERAGE(F4:F31)</f>
        <v>1.0116387066813721</v>
      </c>
      <c r="G32" s="70">
        <f>SUM(G4:G31)</f>
        <v>24700</v>
      </c>
      <c r="H32" s="70">
        <f>SUM(H4:H31)</f>
        <v>296400</v>
      </c>
      <c r="I32" s="71">
        <f>AVERAGE(I4:I31)</f>
        <v>1.0523693426984779</v>
      </c>
      <c r="J32" s="70">
        <f>SUM(J4:J31)</f>
        <v>1000</v>
      </c>
      <c r="K32" s="72">
        <f>AVERAGE(K4:K31)</f>
        <v>4.1025641025641102E-2</v>
      </c>
    </row>
    <row r="33" spans="1:11">
      <c r="A33" s="59"/>
      <c r="B33" s="91"/>
      <c r="C33" s="59"/>
      <c r="D33" s="59"/>
      <c r="E33" s="59"/>
      <c r="F33" s="59"/>
      <c r="G33" s="59"/>
      <c r="H33" s="59"/>
      <c r="I33" s="59"/>
      <c r="J33" s="59"/>
      <c r="K33" s="59"/>
    </row>
    <row r="34" spans="1:11">
      <c r="A34" s="60"/>
      <c r="B34" s="60"/>
      <c r="C34" s="60"/>
      <c r="D34" s="60"/>
    </row>
    <row r="35" spans="1:11">
      <c r="A35" s="60"/>
      <c r="B35" s="60"/>
      <c r="C35" s="60"/>
      <c r="D35" s="61"/>
      <c r="E35" s="61"/>
    </row>
    <row r="36" spans="1:11">
      <c r="A36" s="60"/>
      <c r="B36" s="60"/>
      <c r="C36" s="60"/>
      <c r="D36" s="61"/>
      <c r="E36" s="61"/>
    </row>
    <row r="37" spans="1:11">
      <c r="A37" s="60"/>
      <c r="B37" s="60"/>
      <c r="C37" s="60"/>
      <c r="D37" s="61"/>
      <c r="E37" s="61"/>
    </row>
    <row r="38" spans="1:11">
      <c r="A38" s="60"/>
      <c r="B38" s="60"/>
      <c r="C38" s="60"/>
      <c r="D38" s="61"/>
      <c r="E38" s="61"/>
    </row>
    <row r="39" spans="1:11">
      <c r="A39" s="60"/>
      <c r="B39" s="60"/>
      <c r="C39" s="60"/>
      <c r="D39" s="61"/>
      <c r="E39" s="61"/>
    </row>
    <row r="40" spans="1:11">
      <c r="A40" s="60"/>
      <c r="B40" s="60"/>
      <c r="C40" s="60"/>
      <c r="D40" s="61"/>
      <c r="E40" s="61"/>
    </row>
    <row r="41" spans="1:11">
      <c r="A41" s="60"/>
      <c r="B41" s="60"/>
      <c r="C41" s="60"/>
      <c r="D41" s="60"/>
    </row>
    <row r="44" spans="1:11">
      <c r="B44" s="62"/>
    </row>
    <row r="46" spans="1:11">
      <c r="B46" s="63"/>
    </row>
    <row r="53" spans="2:2">
      <c r="B53" s="64"/>
    </row>
  </sheetData>
  <mergeCells count="12">
    <mergeCell ref="F2:F3"/>
    <mergeCell ref="A2:A3"/>
    <mergeCell ref="B2:B3"/>
    <mergeCell ref="C2:C3"/>
    <mergeCell ref="D2:D3"/>
    <mergeCell ref="E2:E3"/>
    <mergeCell ref="J2:J3"/>
    <mergeCell ref="K2:K3"/>
    <mergeCell ref="G1:K1"/>
    <mergeCell ref="G2:G3"/>
    <mergeCell ref="H2:H3"/>
    <mergeCell ref="I2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6677-34F8-4CFA-A578-C8C3C8196240}">
  <dimension ref="A1"/>
  <sheetViews>
    <sheetView workbookViewId="0"/>
  </sheetViews>
  <sheetFormatPr baseColWidth="10" defaultColWidth="8.83203125" defaultRowHeight="15"/>
  <cols>
    <col min="1" max="1" width="15.83203125" bestFit="1" customWidth="1"/>
  </cols>
  <sheetData>
    <row r="1" spans="1:1" ht="16">
      <c r="A1" s="132">
        <f>'Financial Summary'!D52/2/0.0588</f>
        <v>143184.48979591837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2AB0-0A82-4073-88C4-92D0890D67B5}">
  <dimension ref="A1"/>
  <sheetViews>
    <sheetView workbookViewId="0"/>
  </sheetViews>
  <sheetFormatPr baseColWidth="10" defaultColWidth="8.83203125" defaultRowHeight="15"/>
  <cols>
    <col min="1" max="1" width="15.1640625" bestFit="1" customWidth="1"/>
  </cols>
  <sheetData>
    <row r="1" spans="1:1" ht="16">
      <c r="A1" s="131">
        <f>'Financial Summary'!D39/2/0.0588</f>
        <v>265156.46258503402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CA98-28D0-42B1-BE6E-C4F2F54BA051}">
  <dimension ref="A1:M11"/>
  <sheetViews>
    <sheetView workbookViewId="0">
      <selection activeCell="M25" sqref="M25"/>
    </sheetView>
  </sheetViews>
  <sheetFormatPr baseColWidth="10" defaultColWidth="8.83203125" defaultRowHeight="15"/>
  <cols>
    <col min="5" max="5" width="10.5" bestFit="1" customWidth="1"/>
    <col min="6" max="6" width="11.6640625" bestFit="1" customWidth="1"/>
    <col min="7" max="7" width="8.83203125" bestFit="1" customWidth="1"/>
    <col min="8" max="8" width="10.1640625" bestFit="1" customWidth="1"/>
    <col min="9" max="9" width="10.5" bestFit="1" customWidth="1"/>
    <col min="10" max="10" width="11.6640625" bestFit="1" customWidth="1"/>
    <col min="12" max="12" width="15.1640625" bestFit="1" customWidth="1"/>
  </cols>
  <sheetData>
    <row r="1" spans="1:13" ht="16">
      <c r="A1" s="4" t="s">
        <v>20</v>
      </c>
      <c r="B1" s="4"/>
      <c r="C1" s="4"/>
      <c r="D1" s="4"/>
      <c r="E1" s="4"/>
      <c r="F1" s="4"/>
      <c r="G1" s="21"/>
      <c r="H1" s="21"/>
      <c r="I1" s="4"/>
      <c r="J1" s="4"/>
      <c r="K1" s="4"/>
      <c r="L1" s="4"/>
      <c r="M1" s="4"/>
    </row>
    <row r="2" spans="1:13" ht="16">
      <c r="A2" s="22"/>
      <c r="B2" s="22"/>
      <c r="C2" s="22"/>
      <c r="D2" s="22"/>
      <c r="E2" s="22"/>
      <c r="F2" s="22"/>
      <c r="G2" s="22"/>
      <c r="H2" s="140" t="s">
        <v>37</v>
      </c>
      <c r="I2" s="140"/>
      <c r="J2" s="140"/>
      <c r="K2" s="140"/>
      <c r="L2" s="140"/>
      <c r="M2" s="140"/>
    </row>
    <row r="3" spans="1:13">
      <c r="A3" s="139" t="s">
        <v>38</v>
      </c>
      <c r="B3" s="139" t="s">
        <v>24</v>
      </c>
      <c r="C3" s="139" t="s">
        <v>36</v>
      </c>
      <c r="D3" s="139" t="s">
        <v>39</v>
      </c>
      <c r="E3" s="139" t="s">
        <v>40</v>
      </c>
      <c r="F3" s="139" t="s">
        <v>32</v>
      </c>
      <c r="G3" s="139" t="s">
        <v>30</v>
      </c>
      <c r="H3" s="139" t="s">
        <v>31</v>
      </c>
      <c r="I3" s="139" t="s">
        <v>41</v>
      </c>
      <c r="J3" s="139" t="s">
        <v>34</v>
      </c>
      <c r="K3" s="139" t="s">
        <v>35</v>
      </c>
      <c r="L3" s="139" t="s">
        <v>67</v>
      </c>
      <c r="M3" s="139" t="s">
        <v>42</v>
      </c>
    </row>
    <row r="4" spans="1:13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</row>
    <row r="5" spans="1:13" ht="17">
      <c r="A5" s="93">
        <v>16</v>
      </c>
      <c r="B5" s="93" t="s">
        <v>84</v>
      </c>
      <c r="C5" s="93">
        <v>750</v>
      </c>
      <c r="D5" s="96">
        <v>750</v>
      </c>
      <c r="E5" s="25">
        <f>D5*A5</f>
        <v>12000</v>
      </c>
      <c r="F5" s="24">
        <f>E5*12</f>
        <v>144000</v>
      </c>
      <c r="G5" s="26">
        <f>E5/(C5*A5)</f>
        <v>1</v>
      </c>
      <c r="H5" s="122">
        <v>800</v>
      </c>
      <c r="I5" s="24">
        <f>H5*A5</f>
        <v>12800</v>
      </c>
      <c r="J5" s="24">
        <f>I5*12</f>
        <v>153600</v>
      </c>
      <c r="K5" s="26">
        <f>H5/C5</f>
        <v>1.0666666666666667</v>
      </c>
      <c r="L5" s="27">
        <f>J5-F5</f>
        <v>9600</v>
      </c>
      <c r="M5" s="28">
        <f>L5/F5</f>
        <v>6.6666666666666666E-2</v>
      </c>
    </row>
    <row r="6" spans="1:13" ht="17">
      <c r="A6" s="94">
        <v>12</v>
      </c>
      <c r="B6" s="93" t="s">
        <v>85</v>
      </c>
      <c r="C6" s="95">
        <v>975</v>
      </c>
      <c r="D6" s="97">
        <v>975</v>
      </c>
      <c r="E6" s="103">
        <f>D6*A6</f>
        <v>11700</v>
      </c>
      <c r="F6" s="30">
        <f>E6*12</f>
        <v>140400</v>
      </c>
      <c r="G6" s="31">
        <f>D6/C6</f>
        <v>1</v>
      </c>
      <c r="H6" s="122">
        <v>1100</v>
      </c>
      <c r="I6" s="24">
        <f>H6*A6</f>
        <v>13200</v>
      </c>
      <c r="J6" s="24">
        <f>I6*12</f>
        <v>158400</v>
      </c>
      <c r="K6" s="26">
        <f>H6/C6</f>
        <v>1.1282051282051282</v>
      </c>
      <c r="L6" s="27">
        <f>J6-F6</f>
        <v>18000</v>
      </c>
      <c r="M6" s="28">
        <f>L6/F6</f>
        <v>0.12820512820512819</v>
      </c>
    </row>
    <row r="7" spans="1:13" ht="16">
      <c r="A7" s="32"/>
      <c r="B7" s="33"/>
      <c r="C7" s="35"/>
      <c r="D7" s="2"/>
      <c r="E7" s="36"/>
      <c r="F7" s="2"/>
      <c r="G7" s="37"/>
      <c r="H7" s="32"/>
      <c r="I7" s="2"/>
      <c r="J7" s="2"/>
      <c r="K7" s="37"/>
      <c r="L7" s="2">
        <f>L5+L6</f>
        <v>27600</v>
      </c>
      <c r="M7" s="34"/>
    </row>
    <row r="11" spans="1:13" ht="16">
      <c r="L11" s="130">
        <f>L7/0.0588</f>
        <v>469387.75510204083</v>
      </c>
    </row>
  </sheetData>
  <mergeCells count="14">
    <mergeCell ref="H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3496-8B96-4C65-9C3B-B54F8BA72210}">
  <dimension ref="A1:F20"/>
  <sheetViews>
    <sheetView zoomScale="250" zoomScaleNormal="250" workbookViewId="0">
      <selection activeCell="D15" sqref="D15"/>
    </sheetView>
  </sheetViews>
  <sheetFormatPr baseColWidth="10" defaultColWidth="8.83203125" defaultRowHeight="15"/>
  <cols>
    <col min="2" max="2" width="15.5" bestFit="1" customWidth="1"/>
    <col min="3" max="3" width="15.5" customWidth="1"/>
    <col min="4" max="4" width="22.83203125" bestFit="1" customWidth="1"/>
    <col min="5" max="5" width="21.6640625" bestFit="1" customWidth="1"/>
    <col min="6" max="6" width="12.83203125" bestFit="1" customWidth="1"/>
  </cols>
  <sheetData>
    <row r="1" spans="1:6">
      <c r="A1" t="s">
        <v>98</v>
      </c>
      <c r="B1" t="s">
        <v>103</v>
      </c>
      <c r="C1" t="s">
        <v>99</v>
      </c>
      <c r="D1" t="s">
        <v>100</v>
      </c>
      <c r="E1" t="s">
        <v>101</v>
      </c>
      <c r="F1" t="s">
        <v>102</v>
      </c>
    </row>
    <row r="2" spans="1:6">
      <c r="A2">
        <v>1</v>
      </c>
      <c r="B2" s="133">
        <v>130000</v>
      </c>
      <c r="C2" s="133">
        <v>150000</v>
      </c>
      <c r="D2">
        <v>1</v>
      </c>
      <c r="E2" s="133">
        <v>130000</v>
      </c>
      <c r="F2" s="133">
        <v>150000</v>
      </c>
    </row>
    <row r="3" spans="1:6">
      <c r="A3">
        <v>2</v>
      </c>
      <c r="B3" s="133">
        <v>150000</v>
      </c>
      <c r="C3" s="133">
        <f>B3-E3+F3</f>
        <v>170000</v>
      </c>
      <c r="D3">
        <v>1</v>
      </c>
      <c r="E3" s="133">
        <v>130000</v>
      </c>
      <c r="F3" s="133">
        <v>150000</v>
      </c>
    </row>
    <row r="4" spans="1:6">
      <c r="A4">
        <v>3</v>
      </c>
      <c r="B4" s="133">
        <v>170000</v>
      </c>
      <c r="C4" s="133">
        <f>B4-E4+F4</f>
        <v>190000</v>
      </c>
      <c r="D4">
        <v>1</v>
      </c>
      <c r="E4" s="133">
        <v>130000</v>
      </c>
      <c r="F4" s="133">
        <v>150000</v>
      </c>
    </row>
    <row r="5" spans="1:6">
      <c r="A5">
        <v>4</v>
      </c>
      <c r="B5" s="133">
        <v>190000</v>
      </c>
      <c r="C5" s="133">
        <f>B5-E5+F5</f>
        <v>210000</v>
      </c>
      <c r="D5">
        <v>1</v>
      </c>
      <c r="E5" s="133">
        <v>130000</v>
      </c>
      <c r="F5" s="133">
        <v>150000</v>
      </c>
    </row>
    <row r="6" spans="1:6">
      <c r="A6">
        <v>5</v>
      </c>
      <c r="B6" s="133">
        <v>210000</v>
      </c>
      <c r="C6" s="133">
        <f>B6-E6+F6</f>
        <v>230000</v>
      </c>
      <c r="D6">
        <v>1</v>
      </c>
      <c r="E6" s="133">
        <v>130000</v>
      </c>
      <c r="F6" s="133">
        <v>150000</v>
      </c>
    </row>
    <row r="7" spans="1:6">
      <c r="A7">
        <v>6</v>
      </c>
      <c r="B7" s="133">
        <v>230000</v>
      </c>
      <c r="C7" s="133">
        <f t="shared" ref="C7:C12" si="0">B7-E7+F7</f>
        <v>250000</v>
      </c>
      <c r="D7">
        <v>1</v>
      </c>
      <c r="E7" s="133">
        <v>130000</v>
      </c>
      <c r="F7" s="133">
        <v>150000</v>
      </c>
    </row>
    <row r="8" spans="1:6">
      <c r="A8">
        <v>7</v>
      </c>
      <c r="B8" s="133">
        <v>250000</v>
      </c>
      <c r="C8" s="133">
        <f t="shared" si="0"/>
        <v>270000</v>
      </c>
      <c r="D8">
        <v>1</v>
      </c>
      <c r="E8" s="133">
        <v>130000</v>
      </c>
      <c r="F8" s="133">
        <v>150000</v>
      </c>
    </row>
    <row r="9" spans="1:6">
      <c r="A9">
        <v>8</v>
      </c>
      <c r="B9" s="133">
        <v>270000</v>
      </c>
      <c r="C9" s="133">
        <f>B9-E9+F9</f>
        <v>310000</v>
      </c>
      <c r="D9">
        <v>2</v>
      </c>
      <c r="E9" s="133">
        <v>260000</v>
      </c>
      <c r="F9" s="133">
        <v>300000</v>
      </c>
    </row>
    <row r="10" spans="1:6">
      <c r="A10">
        <v>9</v>
      </c>
      <c r="B10" s="133">
        <v>310000</v>
      </c>
      <c r="C10" s="133">
        <f>B10-E10+F10</f>
        <v>350000</v>
      </c>
      <c r="D10">
        <v>2</v>
      </c>
      <c r="E10" s="133">
        <v>260000</v>
      </c>
      <c r="F10" s="133">
        <v>300000</v>
      </c>
    </row>
    <row r="11" spans="1:6" s="125" customFormat="1" ht="16">
      <c r="A11" s="125">
        <v>10</v>
      </c>
      <c r="B11" s="134">
        <v>350000</v>
      </c>
      <c r="C11" s="134">
        <f>B11-E11+F11</f>
        <v>390000</v>
      </c>
      <c r="D11" s="125">
        <v>2</v>
      </c>
      <c r="E11" s="134">
        <v>260000</v>
      </c>
      <c r="F11" s="134">
        <v>300000</v>
      </c>
    </row>
    <row r="12" spans="1:6">
      <c r="A12">
        <v>11</v>
      </c>
      <c r="B12" s="133">
        <v>390000</v>
      </c>
      <c r="C12" s="133">
        <f t="shared" si="0"/>
        <v>450000</v>
      </c>
      <c r="D12">
        <v>3</v>
      </c>
      <c r="E12" s="133">
        <v>390000</v>
      </c>
      <c r="F12" s="133">
        <v>450000</v>
      </c>
    </row>
    <row r="15" spans="1:6" ht="16">
      <c r="C15" s="125" t="s">
        <v>104</v>
      </c>
      <c r="D15" s="125">
        <f>SUM(D2:D11)</f>
        <v>13</v>
      </c>
    </row>
    <row r="16" spans="1:6">
      <c r="C16" t="s">
        <v>105</v>
      </c>
      <c r="D16">
        <f>SUM(D2:D12)</f>
        <v>16</v>
      </c>
    </row>
    <row r="18" spans="1:3">
      <c r="A18" t="s">
        <v>114</v>
      </c>
    </row>
    <row r="20" spans="1:3">
      <c r="C20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3AD2-C5F2-4DF5-825A-2152BCB90171}">
  <dimension ref="A1:O24"/>
  <sheetViews>
    <sheetView tabSelected="1" zoomScale="160" zoomScaleNormal="160" workbookViewId="0">
      <selection activeCell="F22" sqref="F22"/>
    </sheetView>
  </sheetViews>
  <sheetFormatPr baseColWidth="10" defaultColWidth="8.83203125" defaultRowHeight="15"/>
  <cols>
    <col min="2" max="2" width="15.33203125" bestFit="1" customWidth="1"/>
    <col min="3" max="3" width="38.33203125" bestFit="1" customWidth="1"/>
    <col min="4" max="4" width="10.83203125" bestFit="1" customWidth="1"/>
    <col min="14" max="14" width="35" bestFit="1" customWidth="1"/>
    <col min="15" max="15" width="15.1640625" bestFit="1" customWidth="1"/>
    <col min="16" max="16" width="12.33203125" bestFit="1" customWidth="1"/>
  </cols>
  <sheetData>
    <row r="1" spans="1:15">
      <c r="A1" t="s">
        <v>106</v>
      </c>
      <c r="B1" t="s">
        <v>98</v>
      </c>
      <c r="C1" t="s">
        <v>108</v>
      </c>
      <c r="N1" t="s">
        <v>107</v>
      </c>
    </row>
    <row r="2" spans="1:15">
      <c r="B2">
        <v>1</v>
      </c>
      <c r="C2" s="133">
        <v>0</v>
      </c>
    </row>
    <row r="3" spans="1:15">
      <c r="B3">
        <v>2</v>
      </c>
      <c r="C3" s="133">
        <v>20000</v>
      </c>
    </row>
    <row r="4" spans="1:15">
      <c r="B4">
        <v>3</v>
      </c>
      <c r="C4" s="133">
        <v>40000</v>
      </c>
    </row>
    <row r="5" spans="1:15">
      <c r="B5">
        <v>4</v>
      </c>
      <c r="C5" s="133">
        <f>C3*3</f>
        <v>60000</v>
      </c>
    </row>
    <row r="6" spans="1:15">
      <c r="B6">
        <v>5</v>
      </c>
      <c r="C6" s="133">
        <f>C3*4</f>
        <v>80000</v>
      </c>
    </row>
    <row r="7" spans="1:15" ht="16">
      <c r="C7" s="134">
        <f>SUM(C2:C6)</f>
        <v>200000</v>
      </c>
      <c r="N7" t="s">
        <v>14</v>
      </c>
      <c r="O7" s="135">
        <v>8784.44</v>
      </c>
    </row>
    <row r="8" spans="1:15">
      <c r="N8" t="s">
        <v>6</v>
      </c>
      <c r="O8" s="135">
        <v>1840000</v>
      </c>
    </row>
    <row r="9" spans="1:15">
      <c r="N9" t="s">
        <v>109</v>
      </c>
      <c r="O9" s="135">
        <v>1664234.36</v>
      </c>
    </row>
    <row r="10" spans="1:15">
      <c r="B10" t="s">
        <v>98</v>
      </c>
      <c r="C10" t="s">
        <v>110</v>
      </c>
      <c r="D10" t="s">
        <v>108</v>
      </c>
    </row>
    <row r="11" spans="1:15" ht="16">
      <c r="B11">
        <v>1</v>
      </c>
      <c r="C11" s="135">
        <v>2000000</v>
      </c>
      <c r="D11" s="133">
        <v>0</v>
      </c>
      <c r="N11" t="s">
        <v>113</v>
      </c>
      <c r="O11" s="136">
        <f>O7*60-(O8-O9)</f>
        <v>351300.76000000013</v>
      </c>
    </row>
    <row r="12" spans="1:15">
      <c r="B12">
        <v>2</v>
      </c>
      <c r="C12" s="135">
        <v>1933333.28</v>
      </c>
      <c r="D12" s="135">
        <f>C19*12-(C12-C13)</f>
        <v>19079.219999999899</v>
      </c>
    </row>
    <row r="13" spans="1:15">
      <c r="B13">
        <v>3</v>
      </c>
      <c r="C13" s="135">
        <v>1877792.18</v>
      </c>
      <c r="D13" s="135">
        <f>C20*12-(C13-C14)</f>
        <v>37134.290000000008</v>
      </c>
    </row>
    <row r="14" spans="1:15">
      <c r="B14">
        <v>4</v>
      </c>
      <c r="C14" s="135">
        <v>1831638.19</v>
      </c>
      <c r="D14" s="135">
        <f>C21*12-(C14-C15)</f>
        <v>54426.190000000061</v>
      </c>
    </row>
    <row r="15" spans="1:15">
      <c r="B15">
        <v>5</v>
      </c>
      <c r="C15" s="135">
        <v>1793397.26</v>
      </c>
      <c r="D15" s="135">
        <f>C22*12-(C15-C16)</f>
        <v>71161.079999999944</v>
      </c>
    </row>
    <row r="16" spans="1:15">
      <c r="B16">
        <v>6</v>
      </c>
      <c r="C16" s="135">
        <v>1761814.94</v>
      </c>
    </row>
    <row r="18" spans="2:3">
      <c r="B18" t="s">
        <v>112</v>
      </c>
      <c r="C18" t="s">
        <v>111</v>
      </c>
    </row>
    <row r="19" spans="2:3">
      <c r="B19">
        <v>2</v>
      </c>
      <c r="C19" s="135">
        <v>6218.36</v>
      </c>
    </row>
    <row r="20" spans="2:3">
      <c r="B20">
        <v>3</v>
      </c>
      <c r="C20" s="135">
        <v>6940.69</v>
      </c>
    </row>
    <row r="21" spans="2:3">
      <c r="B21">
        <v>4</v>
      </c>
      <c r="C21" s="135">
        <v>7722.26</v>
      </c>
    </row>
    <row r="22" spans="2:3">
      <c r="B22">
        <v>5</v>
      </c>
      <c r="C22" s="135">
        <v>8561.9500000000007</v>
      </c>
    </row>
    <row r="24" spans="2:3" ht="16">
      <c r="B24" t="s">
        <v>113</v>
      </c>
      <c r="C24" s="134">
        <f>SUM(D11:D15)</f>
        <v>181800.77999999991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8"/>
  <sheetViews>
    <sheetView topLeftCell="A28" zoomScale="115" zoomScaleNormal="115" workbookViewId="0">
      <selection activeCell="D52" sqref="D52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0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0" t="s">
        <v>50</v>
      </c>
      <c r="M3" s="79">
        <f>L67/N33</f>
        <v>11.648759324753369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0" t="s">
        <v>55</v>
      </c>
      <c r="I4" s="118">
        <v>1.2500000000000001E-2</v>
      </c>
      <c r="J4" s="77">
        <f>I4*F2</f>
        <v>25000</v>
      </c>
      <c r="L4" s="10" t="s">
        <v>51</v>
      </c>
      <c r="M4" s="19">
        <f>L67/B6</f>
        <v>157.70490988715486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0" t="s">
        <v>60</v>
      </c>
      <c r="M5" s="19">
        <f>L67/B4</f>
        <v>134499.75886090207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0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0" t="s">
        <v>46</v>
      </c>
      <c r="B9" s="18">
        <v>3000000</v>
      </c>
      <c r="H9" s="143" t="s">
        <v>52</v>
      </c>
      <c r="I9" s="143"/>
      <c r="J9" s="81">
        <f>SUM(J2:J8)</f>
        <v>1075000</v>
      </c>
    </row>
    <row r="10" spans="1:16">
      <c r="A10" s="10" t="s">
        <v>45</v>
      </c>
      <c r="B10" s="123">
        <f>D56/B9</f>
        <v>5.8769341333333322E-2</v>
      </c>
      <c r="H10" s="4"/>
      <c r="I10" s="4"/>
    </row>
    <row r="11" spans="1:16">
      <c r="A11" s="10" t="s">
        <v>3</v>
      </c>
      <c r="B11" s="79">
        <f>B9/D33</f>
        <v>10.548523206751055</v>
      </c>
      <c r="H11" s="4"/>
      <c r="I11" s="4"/>
    </row>
    <row r="12" spans="1:16">
      <c r="A12" s="10" t="s">
        <v>9</v>
      </c>
      <c r="B12" s="19">
        <f>B9/B6</f>
        <v>125.62814070351759</v>
      </c>
      <c r="H12" s="4"/>
      <c r="I12" s="4"/>
    </row>
    <row r="13" spans="1:16">
      <c r="A13" s="10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 t="shared" ref="F39:N39" si="1">F36*F38</f>
        <v>28344.801599999999</v>
      </c>
      <c r="G39" s="49"/>
      <c r="H39" s="49">
        <f t="shared" si="1"/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286597.43839999998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3.1163223404441991E-2</v>
      </c>
      <c r="H44" s="51">
        <f>F44*1.05</f>
        <v>9377.8650000000016</v>
      </c>
      <c r="I44" s="50">
        <f t="shared" ref="I44:I53" si="4">H44/H$40</f>
        <v>3.1085144548433363E-2</v>
      </c>
      <c r="J44" s="51">
        <f>H44*1.05</f>
        <v>9846.7582500000026</v>
      </c>
      <c r="K44" s="50">
        <f t="shared" ref="K44:K53" si="5">J44/J$40</f>
        <v>3.1688739588208774E-2</v>
      </c>
      <c r="L44" s="51">
        <f>J44*1.05</f>
        <v>10339.096162500004</v>
      </c>
      <c r="M44" s="50">
        <f>L44/L$40</f>
        <v>3.1960394761295051E-2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5712</v>
      </c>
      <c r="G45" s="53">
        <f t="shared" si="3"/>
        <v>1.9930394465102797E-2</v>
      </c>
      <c r="H45" s="51">
        <f t="shared" ref="H45:H53" si="6">F45*(1+H$43)</f>
        <v>5826.24</v>
      </c>
      <c r="I45" s="53">
        <f t="shared" si="4"/>
        <v>1.9312446124343265E-2</v>
      </c>
      <c r="J45" s="51">
        <f t="shared" ref="J45:J53" si="7">H45*(1+J$43)</f>
        <v>5942.7647999999999</v>
      </c>
      <c r="K45" s="53">
        <f t="shared" si="5"/>
        <v>1.9124946647407898E-2</v>
      </c>
      <c r="L45" s="51">
        <f t="shared" ref="L45:L53" si="8">J45*(1+L$43)</f>
        <v>6061.6200959999996</v>
      </c>
      <c r="M45" s="53">
        <f>L45/L$40</f>
        <v>1.8737785984023064E-2</v>
      </c>
      <c r="N45" s="51">
        <f t="shared" ref="F45:N52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3"/>
        <v>8.332684385918783E-2</v>
      </c>
      <c r="H46" s="51">
        <f t="shared" si="6"/>
        <v>24358.885200000004</v>
      </c>
      <c r="I46" s="53">
        <f t="shared" si="4"/>
        <v>8.0743268055223028E-2</v>
      </c>
      <c r="J46" s="51">
        <f t="shared" si="7"/>
        <v>24846.062904000006</v>
      </c>
      <c r="K46" s="53">
        <f t="shared" si="5"/>
        <v>7.995935283138593E-2</v>
      </c>
      <c r="L46" s="51">
        <f t="shared" si="8"/>
        <v>25342.984162080007</v>
      </c>
      <c r="M46" s="53">
        <f t="shared" ref="M46" si="10">L46/L$40</f>
        <v>7.8340675579273586E-2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8233.44</v>
      </c>
      <c r="G47" s="53">
        <f t="shared" si="3"/>
        <v>2.8728240021841035E-2</v>
      </c>
      <c r="H47" s="51">
        <f t="shared" si="6"/>
        <v>8398.1088</v>
      </c>
      <c r="I47" s="53">
        <f t="shared" si="4"/>
        <v>2.7837511627803364E-2</v>
      </c>
      <c r="J47" s="51">
        <f t="shared" si="7"/>
        <v>8566.0709760000009</v>
      </c>
      <c r="K47" s="53">
        <f t="shared" si="5"/>
        <v>2.7567244524620813E-2</v>
      </c>
      <c r="L47" s="51">
        <f t="shared" si="8"/>
        <v>8737.3923955200007</v>
      </c>
      <c r="M47" s="53">
        <f t="shared" ref="M47" si="11">L47/L$40</f>
        <v>2.7009180082684676E-2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3900.48</v>
      </c>
      <c r="G48" s="53">
        <f t="shared" si="3"/>
        <v>1.3609612220455911E-2</v>
      </c>
      <c r="H48" s="51">
        <f t="shared" si="6"/>
        <v>3978.4895999999999</v>
      </c>
      <c r="I48" s="53">
        <f t="shared" si="4"/>
        <v>1.3187641782051545E-2</v>
      </c>
      <c r="J48" s="51">
        <f t="shared" si="7"/>
        <v>4058.0593920000001</v>
      </c>
      <c r="K48" s="53">
        <f t="shared" si="5"/>
        <v>1.305960642494425E-2</v>
      </c>
      <c r="L48" s="51">
        <f t="shared" si="8"/>
        <v>4139.22057984</v>
      </c>
      <c r="M48" s="53">
        <f>L48/L$40</f>
        <v>1.2795231000518607E-2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ref="E49" si="12">D49/D$40</f>
        <v>3.2810531296856918E-2</v>
      </c>
      <c r="F49" s="51">
        <f>D49*(1+F$43)</f>
        <v>9392.16</v>
      </c>
      <c r="G49" s="53">
        <f t="shared" ref="G49" si="13">F49/F$40</f>
        <v>3.2771262899047603E-2</v>
      </c>
      <c r="H49" s="51">
        <f t="shared" ref="H49" si="14">F49*(1+H$43)</f>
        <v>9580.0031999999992</v>
      </c>
      <c r="I49" s="53">
        <f t="shared" ref="I49" si="15">H49/H$40</f>
        <v>3.1755179270170138E-2</v>
      </c>
      <c r="J49" s="51">
        <f t="shared" ref="J49" si="16">H49*(1+J$43)</f>
        <v>9771.6032639999994</v>
      </c>
      <c r="K49" s="53">
        <f t="shared" ref="K49" si="17">J49/J$40</f>
        <v>3.1446876558809268E-2</v>
      </c>
      <c r="L49" s="51">
        <f t="shared" ref="L49" si="18">J49*(1+L$43)</f>
        <v>9967.0353292799991</v>
      </c>
      <c r="M49" s="53">
        <f>L49/L$40</f>
        <v>3.0810273810872205E-2</v>
      </c>
      <c r="N49" s="51">
        <f t="shared" ref="N49" si="19">L49*(1+N$43)</f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3"/>
        <v>3.2885150867419617E-2</v>
      </c>
      <c r="H50" s="51">
        <f t="shared" si="6"/>
        <v>9613.2960000000003</v>
      </c>
      <c r="I50" s="53">
        <f t="shared" si="4"/>
        <v>3.1865536105166389E-2</v>
      </c>
      <c r="J50" s="51">
        <f t="shared" si="7"/>
        <v>9805.5619200000001</v>
      </c>
      <c r="K50" s="53">
        <f t="shared" si="5"/>
        <v>3.1556161968223029E-2</v>
      </c>
      <c r="L50" s="51">
        <f t="shared" si="8"/>
        <v>10001.673158400001</v>
      </c>
      <c r="M50" s="53">
        <f t="shared" ref="M50:M51" si="20">L50/L$40</f>
        <v>3.091734687363806E-2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14312.721600000001</v>
      </c>
      <c r="G51" s="53">
        <f t="shared" si="3"/>
        <v>4.9940158851049944E-2</v>
      </c>
      <c r="H51" s="51">
        <f t="shared" si="6"/>
        <v>14598.976032</v>
      </c>
      <c r="I51" s="53">
        <f t="shared" si="4"/>
        <v>4.8391748037941905E-2</v>
      </c>
      <c r="J51" s="51">
        <f t="shared" si="7"/>
        <v>14890.95555264</v>
      </c>
      <c r="K51" s="53">
        <f t="shared" si="5"/>
        <v>4.7921925241457039E-2</v>
      </c>
      <c r="L51" s="51">
        <f t="shared" si="8"/>
        <v>15188.7746636928</v>
      </c>
      <c r="M51" s="53">
        <f t="shared" si="20"/>
        <v>4.6951805705480423E-2</v>
      </c>
      <c r="N51" s="51">
        <f>L51*(1+N$43)</f>
        <v>15492.550156966658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17175.265919999998</v>
      </c>
      <c r="G52" s="53">
        <f t="shared" si="3"/>
        <v>5.9928190621259925E-2</v>
      </c>
      <c r="H52" s="51">
        <f t="shared" si="6"/>
        <v>17518.771238399997</v>
      </c>
      <c r="I52" s="53">
        <f t="shared" si="4"/>
        <v>5.8070097645530276E-2</v>
      </c>
      <c r="J52" s="51">
        <f t="shared" si="7"/>
        <v>17869.146663167998</v>
      </c>
      <c r="K52" s="53">
        <f t="shared" si="5"/>
        <v>5.7506310289748439E-2</v>
      </c>
      <c r="L52" s="51">
        <f t="shared" si="8"/>
        <v>18226.529596431359</v>
      </c>
      <c r="M52" s="53">
        <f>L52/L$40</f>
        <v>5.6342166846576502E-2</v>
      </c>
      <c r="N52" s="51">
        <f t="shared" si="9"/>
        <v>18591.060188359988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ref="F53" si="21">D53*(1+F$43)</f>
        <v>5712</v>
      </c>
      <c r="G53" s="55">
        <f t="shared" si="3"/>
        <v>1.9930394465102797E-2</v>
      </c>
      <c r="H53" s="74">
        <f t="shared" si="6"/>
        <v>5826.24</v>
      </c>
      <c r="I53" s="55">
        <f t="shared" si="4"/>
        <v>1.9312446124343265E-2</v>
      </c>
      <c r="J53" s="74">
        <f t="shared" si="7"/>
        <v>5942.7647999999999</v>
      </c>
      <c r="K53" s="55">
        <f t="shared" si="5"/>
        <v>1.9124946647407898E-2</v>
      </c>
      <c r="L53" s="74">
        <f t="shared" si="8"/>
        <v>6061.6200959999996</v>
      </c>
      <c r="M53" s="55">
        <f>L53/L$40</f>
        <v>1.8737785984023064E-2</v>
      </c>
      <c r="N53" s="51">
        <f t="shared" ref="N53" si="22">L53*(1+N$43)</f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23">SUM(E44:E53)</f>
        <v>0.37176803438976974</v>
      </c>
      <c r="F54" s="2">
        <f t="shared" si="23"/>
        <v>106675.42752000003</v>
      </c>
      <c r="G54" s="34">
        <f t="shared" si="23"/>
        <v>0.37221347167490948</v>
      </c>
      <c r="H54" s="2">
        <f t="shared" si="23"/>
        <v>109076.87507040003</v>
      </c>
      <c r="I54" s="34">
        <f t="shared" si="23"/>
        <v>0.36156101932100648</v>
      </c>
      <c r="J54" s="2">
        <f t="shared" si="23"/>
        <v>111539.748521808</v>
      </c>
      <c r="K54" s="34">
        <f t="shared" si="23"/>
        <v>0.35895611072221334</v>
      </c>
      <c r="L54" s="2">
        <f t="shared" si="23"/>
        <v>114065.94623974417</v>
      </c>
      <c r="M54" s="34">
        <f t="shared" si="23"/>
        <v>0.35260264662838525</v>
      </c>
      <c r="N54" s="2">
        <f t="shared" si="23"/>
        <v>116657.43804941405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179922.01087999996</v>
      </c>
      <c r="G56" s="34"/>
      <c r="H56" s="2">
        <f>H$40-H$54</f>
        <v>192606.29662560002</v>
      </c>
      <c r="I56" s="34"/>
      <c r="J56" s="2">
        <f>J$40-J$54</f>
        <v>199193.91832507198</v>
      </c>
      <c r="K56" s="34"/>
      <c r="L56" s="2">
        <f>L$40-L$54</f>
        <v>209431.18950342704</v>
      </c>
      <c r="M56" s="34"/>
      <c r="N56" s="2">
        <f>N$40-N$54</f>
        <v>216544.61176605235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58317.536521788585</v>
      </c>
      <c r="G59" s="34"/>
      <c r="H59" s="2">
        <f>H$56-H$58</f>
        <v>71001.822267388648</v>
      </c>
      <c r="I59" s="34"/>
      <c r="J59" s="2">
        <f>J$56-J$58</f>
        <v>77589.443966860606</v>
      </c>
      <c r="K59" s="34"/>
      <c r="L59" s="2">
        <f>L$56-L$58</f>
        <v>87826.715145215669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1.4795673582700757</v>
      </c>
      <c r="G62" s="83"/>
      <c r="H62" s="83">
        <f>H$56/($F$7*12)</f>
        <v>1.5838750806013762</v>
      </c>
      <c r="I62" s="83"/>
      <c r="J62" s="83">
        <f>J$56/($F$7*12)</f>
        <v>1.6380476078396975</v>
      </c>
      <c r="K62" s="83"/>
      <c r="L62" s="83">
        <f>L$56/($F$7*12)</f>
        <v>1.7222325955417046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58317.536521788585</v>
      </c>
      <c r="G66" s="22"/>
      <c r="H66" s="73">
        <f>H59</f>
        <v>71001.822267388648</v>
      </c>
      <c r="I66" s="22"/>
      <c r="J66" s="73">
        <f>J59</f>
        <v>77589.443966860606</v>
      </c>
      <c r="K66" s="22"/>
      <c r="L66" s="73">
        <f>L59</f>
        <v>87826.715145215669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3765993.2481052582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-197714.64552552605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54703.549641788602</v>
      </c>
      <c r="E70" s="82"/>
      <c r="F70" s="82">
        <f t="shared" ref="F70:J70" si="24">SUM(F$65:F$69)</f>
        <v>58317.536521788585</v>
      </c>
      <c r="G70" s="82"/>
      <c r="H70" s="82">
        <f t="shared" si="24"/>
        <v>71001.822267388648</v>
      </c>
      <c r="I70" s="82"/>
      <c r="J70" s="82">
        <f t="shared" si="24"/>
        <v>77589.443966860606</v>
      </c>
      <c r="K70" s="82"/>
      <c r="L70" s="82">
        <f>SUM(L$65:L$69)</f>
        <v>1832946.9744641026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5.0887022922594047E-2</v>
      </c>
      <c r="E71" s="1"/>
      <c r="F71" s="92">
        <f>-F$66/$C$70</f>
        <v>5.4248871183059148E-2</v>
      </c>
      <c r="G71" s="1"/>
      <c r="H71" s="92">
        <f>-H$66/$C$70</f>
        <v>6.6048206760361536E-2</v>
      </c>
      <c r="I71" s="1"/>
      <c r="J71" s="92">
        <f>-J$66/$C$70</f>
        <v>7.2176226945916841E-2</v>
      </c>
      <c r="K71" s="1"/>
      <c r="L71" s="92">
        <f>-L$66/$C$70</f>
        <v>8.1699269902526198E-2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92">
        <f>IRR(C70:L70)</f>
        <v>0.1544126531428629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N19:N20"/>
    <mergeCell ref="I19:I20"/>
    <mergeCell ref="A19:A20"/>
    <mergeCell ref="B19:B20"/>
    <mergeCell ref="L19:L20"/>
    <mergeCell ref="J19:J20"/>
    <mergeCell ref="K19:K20"/>
    <mergeCell ref="M19:M20"/>
    <mergeCell ref="A1:B1"/>
    <mergeCell ref="C19:C20"/>
    <mergeCell ref="D19:D20"/>
    <mergeCell ref="E19:E20"/>
    <mergeCell ref="H19:H20"/>
    <mergeCell ref="F19:F20"/>
    <mergeCell ref="D1:F1"/>
    <mergeCell ref="H1:J1"/>
    <mergeCell ref="D4:E4"/>
    <mergeCell ref="D5:E5"/>
    <mergeCell ref="D6:E6"/>
    <mergeCell ref="D7:E7"/>
    <mergeCell ref="H5:I5"/>
    <mergeCell ref="H6:I6"/>
    <mergeCell ref="H7:I7"/>
    <mergeCell ref="I18:N18"/>
    <mergeCell ref="H2:I2"/>
    <mergeCell ref="H9:I9"/>
    <mergeCell ref="L1:M1"/>
    <mergeCell ref="G19:G20"/>
    <mergeCell ref="D8:E8"/>
  </mergeCells>
  <pageMargins left="0.75" right="0.75" top="1" bottom="1" header="0.5" footer="0.5"/>
  <pageSetup orientation="portrait" horizontalDpi="4294967292" verticalDpi="4294967292" r:id="rId1"/>
  <ignoredErrors>
    <ignoredError sqref="L50:L52 L45:L4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E059-21E3-4917-9B42-FC6E788771F6}">
  <dimension ref="A1:S118"/>
  <sheetViews>
    <sheetView topLeftCell="A27" zoomScaleNormal="100" workbookViewId="0">
      <selection activeCell="G75" sqref="G75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L67/N33</f>
        <v>11.726805121857767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L67/B6</f>
        <v>158.7615207292439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135400.89696479801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1075000</v>
      </c>
    </row>
    <row r="10" spans="1:16">
      <c r="A10" s="124" t="s">
        <v>45</v>
      </c>
      <c r="B10" s="123">
        <f>D56/B9</f>
        <v>5.8769341333333322E-2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0.1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31494.224000000002</v>
      </c>
      <c r="G39" s="49"/>
      <c r="H39" s="49">
        <f t="shared" ref="H39:N39" si="1">H36*H38</f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283448.016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0.01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D44*(1+F$43)</f>
        <v>8591.06</v>
      </c>
      <c r="G44" s="50">
        <f t="shared" ref="G44:G53" si="3">F44/F$40</f>
        <v>3.0309120244468388E-2</v>
      </c>
      <c r="H44" s="51">
        <f>F44*1.05</f>
        <v>9020.6129999999994</v>
      </c>
      <c r="I44" s="50">
        <f t="shared" ref="I44:I53" si="4">H44/H$40</f>
        <v>2.9900948565635892E-2</v>
      </c>
      <c r="J44" s="51">
        <f>H44*1.05</f>
        <v>9471.64365</v>
      </c>
      <c r="K44" s="50">
        <f t="shared" ref="K44:K53" si="5">J44/J$40</f>
        <v>3.0481549508657956E-2</v>
      </c>
      <c r="L44" s="51">
        <f>J44*1.05</f>
        <v>9945.2258325000003</v>
      </c>
      <c r="M44" s="50">
        <f>L44/L$40</f>
        <v>3.0742855913245708E-2</v>
      </c>
      <c r="N44" s="51">
        <f>L44*1.05</f>
        <v>10442.487124125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5656</v>
      </c>
      <c r="G45" s="53">
        <f t="shared" si="3"/>
        <v>1.9954276201389957E-2</v>
      </c>
      <c r="H45" s="51">
        <f t="shared" ref="H45:H53" si="6">F45*(1+H$43)</f>
        <v>5769.12</v>
      </c>
      <c r="I45" s="53">
        <f t="shared" si="4"/>
        <v>1.9123108417241862E-2</v>
      </c>
      <c r="J45" s="51">
        <f t="shared" ref="J45:J53" si="7">H45*(1+J$43)</f>
        <v>5884.5024000000003</v>
      </c>
      <c r="K45" s="53">
        <f t="shared" si="5"/>
        <v>1.8937447170472528E-2</v>
      </c>
      <c r="L45" s="51">
        <f t="shared" ref="L45:L53" si="8">J45*(1+L$43)</f>
        <v>6002.1924480000007</v>
      </c>
      <c r="M45" s="53">
        <f>L45/L$40</f>
        <v>1.8554082199865977E-2</v>
      </c>
      <c r="N45" s="51">
        <f t="shared" ref="F45:N53" si="9">L45*(1+N$43)</f>
        <v>6122.2362969600008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23647.13</v>
      </c>
      <c r="G46" s="53">
        <f t="shared" si="3"/>
        <v>8.3426690839846981E-2</v>
      </c>
      <c r="H46" s="51">
        <f t="shared" si="6"/>
        <v>24120.072600000003</v>
      </c>
      <c r="I46" s="53">
        <f t="shared" si="4"/>
        <v>7.9951667388014958E-2</v>
      </c>
      <c r="J46" s="51">
        <f t="shared" si="7"/>
        <v>24602.474052000005</v>
      </c>
      <c r="K46" s="53">
        <f t="shared" si="5"/>
        <v>7.9175437607548804E-2</v>
      </c>
      <c r="L46" s="51">
        <f t="shared" si="8"/>
        <v>25094.523533040006</v>
      </c>
      <c r="M46" s="53">
        <f t="shared" ref="M46:M47" si="10">L46/L$40</f>
        <v>7.7572629740261106E-2</v>
      </c>
      <c r="N46" s="51">
        <f t="shared" si="9"/>
        <v>25596.414003700807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8152.72</v>
      </c>
      <c r="G47" s="53">
        <f t="shared" si="3"/>
        <v>2.8762663838860669E-2</v>
      </c>
      <c r="H47" s="51">
        <f t="shared" si="6"/>
        <v>8315.7744000000002</v>
      </c>
      <c r="I47" s="53">
        <f t="shared" si="4"/>
        <v>2.7564594847138628E-2</v>
      </c>
      <c r="J47" s="51">
        <f t="shared" si="7"/>
        <v>8482.0898880000004</v>
      </c>
      <c r="K47" s="53">
        <f t="shared" si="5"/>
        <v>2.7296977421438256E-2</v>
      </c>
      <c r="L47" s="51">
        <f t="shared" si="8"/>
        <v>8651.7316857599999</v>
      </c>
      <c r="M47" s="53">
        <f t="shared" si="10"/>
        <v>2.6744384199521097E-2</v>
      </c>
      <c r="N47" s="51">
        <f t="shared" si="9"/>
        <v>8824.7663194752004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3862.2400000000002</v>
      </c>
      <c r="G48" s="53">
        <f t="shared" si="3"/>
        <v>1.362592003466343E-2</v>
      </c>
      <c r="H48" s="51">
        <f t="shared" si="6"/>
        <v>3939.4848000000002</v>
      </c>
      <c r="I48" s="53">
        <f t="shared" si="4"/>
        <v>1.3058351176345158E-2</v>
      </c>
      <c r="J48" s="51">
        <f t="shared" si="7"/>
        <v>4018.2744960000005</v>
      </c>
      <c r="K48" s="53">
        <f t="shared" si="5"/>
        <v>1.2931571067836954E-2</v>
      </c>
      <c r="L48" s="51">
        <f t="shared" si="8"/>
        <v>4098.639985920001</v>
      </c>
      <c r="M48" s="53">
        <f>L48/L$40</f>
        <v>1.2669787559337054E-2</v>
      </c>
      <c r="N48" s="51">
        <f t="shared" si="9"/>
        <v>4180.612785638401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3.2810531296856918E-2</v>
      </c>
      <c r="F49" s="51">
        <f>D49*(1+F$43)</f>
        <v>9300.08</v>
      </c>
      <c r="G49" s="53">
        <f t="shared" si="3"/>
        <v>3.2810531296856918E-2</v>
      </c>
      <c r="H49" s="51">
        <f t="shared" si="6"/>
        <v>9486.0815999999995</v>
      </c>
      <c r="I49" s="53">
        <f t="shared" si="4"/>
        <v>3.144385398320769E-2</v>
      </c>
      <c r="J49" s="51">
        <f t="shared" si="7"/>
        <v>9675.8032320000002</v>
      </c>
      <c r="K49" s="53">
        <f t="shared" si="5"/>
        <v>3.1138573847448395E-2</v>
      </c>
      <c r="L49" s="51">
        <f t="shared" si="8"/>
        <v>9869.3192966400002</v>
      </c>
      <c r="M49" s="53">
        <f>L49/L$40</f>
        <v>3.0508212302922482E-2</v>
      </c>
      <c r="N49" s="51">
        <f t="shared" si="9"/>
        <v>10066.7056825728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9332.4</v>
      </c>
      <c r="G50" s="53">
        <f t="shared" si="3"/>
        <v>3.2924555732293428E-2</v>
      </c>
      <c r="H50" s="51">
        <f t="shared" si="6"/>
        <v>9519.0480000000007</v>
      </c>
      <c r="I50" s="53">
        <f t="shared" si="4"/>
        <v>3.1553128888449071E-2</v>
      </c>
      <c r="J50" s="51">
        <f t="shared" si="7"/>
        <v>9709.4289600000011</v>
      </c>
      <c r="K50" s="53">
        <f t="shared" si="5"/>
        <v>3.1246787831279672E-2</v>
      </c>
      <c r="L50" s="51">
        <f t="shared" si="8"/>
        <v>9903.6175392000005</v>
      </c>
      <c r="M50" s="53">
        <f t="shared" ref="M50:M51" si="11">L50/L$40</f>
        <v>3.0614235629778861E-2</v>
      </c>
      <c r="N50" s="51">
        <f t="shared" si="9"/>
        <v>10101.689889984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14172.400799999999</v>
      </c>
      <c r="G51" s="53">
        <f t="shared" si="3"/>
        <v>4.9999999999999996E-2</v>
      </c>
      <c r="H51" s="51">
        <f t="shared" si="6"/>
        <v>14455.848816</v>
      </c>
      <c r="I51" s="53">
        <f t="shared" si="4"/>
        <v>4.7917319135609142E-2</v>
      </c>
      <c r="J51" s="51">
        <f t="shared" si="7"/>
        <v>14744.965792319999</v>
      </c>
      <c r="K51" s="53">
        <f t="shared" si="5"/>
        <v>4.7452102444972159E-2</v>
      </c>
      <c r="L51" s="51">
        <f t="shared" si="8"/>
        <v>15039.865108166399</v>
      </c>
      <c r="M51" s="53">
        <f t="shared" si="11"/>
        <v>4.6491493884838454E-2</v>
      </c>
      <c r="N51" s="51">
        <f>L51*(1+N$43)</f>
        <v>15340.662410329727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17006.880959999999</v>
      </c>
      <c r="G52" s="53">
        <f t="shared" si="3"/>
        <v>0.06</v>
      </c>
      <c r="H52" s="51">
        <f t="shared" si="6"/>
        <v>17347.018579199997</v>
      </c>
      <c r="I52" s="53">
        <f t="shared" si="4"/>
        <v>5.7500782962730958E-2</v>
      </c>
      <c r="J52" s="51">
        <f t="shared" si="7"/>
        <v>17693.958950783999</v>
      </c>
      <c r="K52" s="53">
        <f t="shared" si="5"/>
        <v>5.6942522933966594E-2</v>
      </c>
      <c r="L52" s="51">
        <f t="shared" si="8"/>
        <v>18047.838129799678</v>
      </c>
      <c r="M52" s="53">
        <f>L52/L$40</f>
        <v>5.5789792661806142E-2</v>
      </c>
      <c r="N52" s="51">
        <f t="shared" si="9"/>
        <v>18408.794892395672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si="9"/>
        <v>5656</v>
      </c>
      <c r="G53" s="55">
        <f t="shared" si="3"/>
        <v>1.9954276201389957E-2</v>
      </c>
      <c r="H53" s="74">
        <f t="shared" si="6"/>
        <v>5769.12</v>
      </c>
      <c r="I53" s="55">
        <f t="shared" si="4"/>
        <v>1.9123108417241862E-2</v>
      </c>
      <c r="J53" s="74">
        <f t="shared" si="7"/>
        <v>5884.5024000000003</v>
      </c>
      <c r="K53" s="55">
        <f t="shared" si="5"/>
        <v>1.8937447170472528E-2</v>
      </c>
      <c r="L53" s="74">
        <f t="shared" si="8"/>
        <v>6002.1924480000007</v>
      </c>
      <c r="M53" s="55">
        <f>L53/L$40</f>
        <v>1.8554082199865977E-2</v>
      </c>
      <c r="N53" s="51">
        <f t="shared" si="9"/>
        <v>6122.2362969600008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12">SUM(E44:E53)</f>
        <v>0.37176803438976974</v>
      </c>
      <c r="F54" s="2">
        <f t="shared" si="12"/>
        <v>105376.91176</v>
      </c>
      <c r="G54" s="34">
        <f t="shared" si="12"/>
        <v>0.37176803438976969</v>
      </c>
      <c r="H54" s="2">
        <f t="shared" si="12"/>
        <v>107742.1817952</v>
      </c>
      <c r="I54" s="34">
        <f t="shared" si="12"/>
        <v>0.35713686378161524</v>
      </c>
      <c r="J54" s="2">
        <f t="shared" si="12"/>
        <v>110167.64382110399</v>
      </c>
      <c r="K54" s="34">
        <f t="shared" si="12"/>
        <v>0.35454041700409378</v>
      </c>
      <c r="L54" s="2">
        <f t="shared" si="12"/>
        <v>112655.14600702609</v>
      </c>
      <c r="M54" s="34">
        <f t="shared" si="12"/>
        <v>0.34824155629144282</v>
      </c>
      <c r="N54" s="2">
        <f t="shared" si="12"/>
        <v>115206.60570214161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178071.10424000002</v>
      </c>
      <c r="G56" s="34"/>
      <c r="H56" s="2">
        <f>H$40-H$54</f>
        <v>193940.98990080005</v>
      </c>
      <c r="I56" s="34"/>
      <c r="J56" s="2">
        <f>J$40-J$54</f>
        <v>200566.023025776</v>
      </c>
      <c r="K56" s="34"/>
      <c r="L56" s="2">
        <f>L$40-L$54</f>
        <v>210841.98973614513</v>
      </c>
      <c r="M56" s="34"/>
      <c r="N56" s="2">
        <f>N$40-N$54</f>
        <v>217995.4441133248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56466.629881788642</v>
      </c>
      <c r="G59" s="34"/>
      <c r="H59" s="2">
        <f>H$56-H$58</f>
        <v>72336.515542588677</v>
      </c>
      <c r="I59" s="34"/>
      <c r="J59" s="2">
        <f>J$56-J$58</f>
        <v>78961.548667564624</v>
      </c>
      <c r="K59" s="34"/>
      <c r="L59" s="2">
        <f>L$56-L$58</f>
        <v>89237.515377933756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1.4643466466164263</v>
      </c>
      <c r="G62" s="83"/>
      <c r="H62" s="83">
        <f>H$56/($F$7*12)</f>
        <v>1.5948507727561601</v>
      </c>
      <c r="I62" s="83"/>
      <c r="J62" s="83">
        <f>J$56/($F$7*12)</f>
        <v>1.6493309484235497</v>
      </c>
      <c r="K62" s="83"/>
      <c r="L62" s="83">
        <f>L$56/($F$7*12)</f>
        <v>1.7338341442525051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56466.629881788642</v>
      </c>
      <c r="G66" s="22"/>
      <c r="H66" s="73">
        <f>H59</f>
        <v>72336.515542588677</v>
      </c>
      <c r="I66" s="22"/>
      <c r="J66" s="73">
        <f>J59</f>
        <v>78961.548667564624</v>
      </c>
      <c r="K66" s="22"/>
      <c r="L66" s="73">
        <f>L59</f>
        <v>89237.515377933756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3791225.1150143445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-199039.31853825308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54703.549641788602</v>
      </c>
      <c r="E70" s="82"/>
      <c r="F70" s="82">
        <f t="shared" ref="F70:J70" si="13">SUM(F$65:F$69)</f>
        <v>56466.629881788642</v>
      </c>
      <c r="G70" s="82"/>
      <c r="H70" s="82">
        <f t="shared" si="13"/>
        <v>72336.515542588677</v>
      </c>
      <c r="I70" s="82"/>
      <c r="J70" s="82">
        <f t="shared" si="13"/>
        <v>78961.548667564624</v>
      </c>
      <c r="K70" s="82"/>
      <c r="L70" s="82">
        <f>SUM(L$65:L$69)</f>
        <v>1858264.9685931797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5.0887022922594047E-2</v>
      </c>
      <c r="E71" s="1"/>
      <c r="F71" s="92">
        <f>-F$66/$C$70</f>
        <v>5.2527097564454547E-2</v>
      </c>
      <c r="G71" s="1"/>
      <c r="H71" s="92">
        <f>-H$66/$C$70</f>
        <v>6.7289781900082488E-2</v>
      </c>
      <c r="I71" s="1"/>
      <c r="J71" s="92">
        <f>-J$66/$C$70</f>
        <v>7.3452603411688022E-2</v>
      </c>
      <c r="K71" s="1"/>
      <c r="L71" s="92">
        <f>-L$66/$C$70</f>
        <v>8.3011642212031403E-2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92">
        <f>IRR(C70:L70)</f>
        <v>0.15735346773319714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25" t="s">
        <v>96</v>
      </c>
      <c r="B74" s="126">
        <f>F56/B9</f>
        <v>5.9357034746666669E-2</v>
      </c>
      <c r="C74" s="127">
        <f>B74/B10-1</f>
        <v>1.0000000000000231E-2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25" t="s">
        <v>97</v>
      </c>
      <c r="B75" s="126">
        <f>F59/J9</f>
        <v>5.2527097564454547E-2</v>
      </c>
      <c r="C75" s="127">
        <f>B75/D71-1</f>
        <v>3.2229722779327785E-2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7992-47F8-4458-9B7E-4CAD9A78C295}">
  <dimension ref="A1:S118"/>
  <sheetViews>
    <sheetView topLeftCell="A19" zoomScaleNormal="100" workbookViewId="0">
      <selection activeCell="C76" sqref="C76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L67/N33</f>
        <v>11.674807699777949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L67/B6</f>
        <v>165.91228110678637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141499.47402964495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1075000</v>
      </c>
    </row>
    <row r="10" spans="1:16">
      <c r="A10" s="124" t="s">
        <v>45</v>
      </c>
      <c r="B10" s="123">
        <f>D56/B9</f>
        <v>5.8769341333333322E-2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0.01</v>
      </c>
      <c r="E32" s="44"/>
      <c r="F32" s="110">
        <v>0.02</v>
      </c>
      <c r="G32" s="111"/>
      <c r="H32" s="110">
        <v>0.04</v>
      </c>
      <c r="I32" s="111"/>
      <c r="J32" s="110">
        <v>0.04</v>
      </c>
      <c r="K32" s="111"/>
      <c r="L32" s="110">
        <v>0.04</v>
      </c>
      <c r="M32" s="111"/>
      <c r="N32" s="110">
        <v>0.04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290088</v>
      </c>
      <c r="G33" s="27"/>
      <c r="H33" s="27">
        <f>F33*(1+H$32)</f>
        <v>301691.52000000002</v>
      </c>
      <c r="I33" s="27"/>
      <c r="J33" s="27">
        <f>H33*(1+J$32)</f>
        <v>313759.18080000003</v>
      </c>
      <c r="K33" s="27"/>
      <c r="L33" s="27">
        <f>J33*(1+L$32)</f>
        <v>326309.54803200002</v>
      </c>
      <c r="M33" s="27"/>
      <c r="N33" s="27">
        <f>L33*(1+N$32)</f>
        <v>339361.92995328002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12648</v>
      </c>
      <c r="G34" s="27"/>
      <c r="H34" s="27">
        <f>F34*(1+H$32)</f>
        <v>13153.92</v>
      </c>
      <c r="I34" s="27"/>
      <c r="J34" s="27">
        <f>H34*(1+J$32)</f>
        <v>13680.076800000001</v>
      </c>
      <c r="K34" s="27"/>
      <c r="L34" s="27">
        <f>J34*(1+L$32)</f>
        <v>14227.279872000001</v>
      </c>
      <c r="M34" s="27"/>
      <c r="N34" s="27">
        <f>L34*(1+N$32)</f>
        <v>14796.371066880001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15324.48</v>
      </c>
      <c r="G35" s="27"/>
      <c r="H35" s="27">
        <f>F35*(1+H$32)</f>
        <v>15937.459199999999</v>
      </c>
      <c r="I35" s="27"/>
      <c r="J35" s="27">
        <f>H35*(1+J$32)</f>
        <v>16574.957568000002</v>
      </c>
      <c r="K35" s="27"/>
      <c r="L35" s="27">
        <f>J35*(1+L$32)</f>
        <v>17237.955870720001</v>
      </c>
      <c r="M35" s="27"/>
      <c r="N35" s="27">
        <f>L35*(1+N$32)</f>
        <v>17927.474105548801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318060.48</v>
      </c>
      <c r="G36" s="2"/>
      <c r="H36" s="2">
        <f>SUM(H33:H35)</f>
        <v>330782.89919999999</v>
      </c>
      <c r="I36" s="2"/>
      <c r="J36" s="2">
        <f>SUM(J33:J35)</f>
        <v>344014.21516800002</v>
      </c>
      <c r="K36" s="2"/>
      <c r="L36" s="2">
        <f>SUM(L33:L35)</f>
        <v>357774.78377471998</v>
      </c>
      <c r="M36" s="2"/>
      <c r="N36" s="2">
        <f>SUM(N33:N35)</f>
        <v>372085.77512570884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28625.443199999998</v>
      </c>
      <c r="G39" s="49"/>
      <c r="H39" s="49">
        <f t="shared" ref="H39:N39" si="1">H36*H38</f>
        <v>23154.802944000003</v>
      </c>
      <c r="I39" s="49"/>
      <c r="J39" s="49">
        <f t="shared" si="1"/>
        <v>24080.995061760004</v>
      </c>
      <c r="K39" s="49"/>
      <c r="L39" s="49">
        <f t="shared" si="1"/>
        <v>21466.487026483199</v>
      </c>
      <c r="M39" s="49"/>
      <c r="N39" s="49">
        <f t="shared" si="1"/>
        <v>22325.146507542529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289435.0368</v>
      </c>
      <c r="G40" s="2"/>
      <c r="H40" s="2">
        <f>H36-H39</f>
        <v>307628.09625599999</v>
      </c>
      <c r="I40" s="2"/>
      <c r="J40" s="2">
        <f>J36-J39</f>
        <v>319933.22010624001</v>
      </c>
      <c r="K40" s="2"/>
      <c r="L40" s="2">
        <f>L36-L39</f>
        <v>336308.29674823675</v>
      </c>
      <c r="M40" s="2"/>
      <c r="N40" s="2">
        <f>N36-N39</f>
        <v>349760.62861816632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0.01</v>
      </c>
      <c r="E43" s="44"/>
      <c r="F43" s="110">
        <v>0.03</v>
      </c>
      <c r="G43" s="111"/>
      <c r="H43" s="110">
        <v>0.03</v>
      </c>
      <c r="I43" s="111"/>
      <c r="J43" s="110">
        <v>0.03</v>
      </c>
      <c r="K43" s="111"/>
      <c r="L43" s="110">
        <v>0.03</v>
      </c>
      <c r="M43" s="111"/>
      <c r="N43" s="110">
        <v>0.03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3.0857701606359225E-2</v>
      </c>
      <c r="H44" s="51">
        <f>F44*1.05</f>
        <v>9377.8650000000016</v>
      </c>
      <c r="I44" s="50">
        <f t="shared" ref="I44:I53" si="4">H44/H$40</f>
        <v>3.0484422957895205E-2</v>
      </c>
      <c r="J44" s="51">
        <f>H44*1.05</f>
        <v>9846.7582500000026</v>
      </c>
      <c r="K44" s="50">
        <f t="shared" ref="K44:K53" si="5">J44/J$40</f>
        <v>3.0777542409413428E-2</v>
      </c>
      <c r="L44" s="51">
        <f>J44*1.05</f>
        <v>10339.096162500004</v>
      </c>
      <c r="M44" s="50">
        <f>L44/L$40</f>
        <v>3.0742911377651616E-2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5768</v>
      </c>
      <c r="G45" s="53">
        <f t="shared" si="3"/>
        <v>1.9928478817807037E-2</v>
      </c>
      <c r="H45" s="51">
        <f t="shared" ref="H45:H53" si="6">F45*(1+H$43)</f>
        <v>5941.04</v>
      </c>
      <c r="I45" s="53">
        <f t="shared" si="4"/>
        <v>1.9312410252202789E-2</v>
      </c>
      <c r="J45" s="51">
        <f t="shared" ref="J45:J53" si="7">H45*(1+J$43)</f>
        <v>6119.2712000000001</v>
      </c>
      <c r="K45" s="53">
        <f t="shared" si="5"/>
        <v>1.9126713999777761E-2</v>
      </c>
      <c r="L45" s="51">
        <f t="shared" ref="L45:L53" si="8">J45*(1+L$43)</f>
        <v>6302.8493360000002</v>
      </c>
      <c r="M45" s="53">
        <f>L45/L$40</f>
        <v>1.8741284104323977E-2</v>
      </c>
      <c r="N45" s="51">
        <f t="shared" ref="F45:N53" si="9">L45*(1+N$43)</f>
        <v>6491.93481608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24115.39</v>
      </c>
      <c r="G46" s="53">
        <f t="shared" si="3"/>
        <v>8.3318834743092166E-2</v>
      </c>
      <c r="H46" s="51">
        <f t="shared" si="6"/>
        <v>24838.851699999999</v>
      </c>
      <c r="I46" s="53">
        <f t="shared" si="4"/>
        <v>8.0743118077647114E-2</v>
      </c>
      <c r="J46" s="51">
        <f t="shared" si="7"/>
        <v>25584.017251000001</v>
      </c>
      <c r="K46" s="53">
        <f t="shared" si="5"/>
        <v>7.9966741942285119E-2</v>
      </c>
      <c r="L46" s="51">
        <f t="shared" si="8"/>
        <v>26351.537768530001</v>
      </c>
      <c r="M46" s="53">
        <f t="shared" ref="M46:M47" si="10">L46/L$40</f>
        <v>7.8355300845453085E-2</v>
      </c>
      <c r="N46" s="51">
        <f t="shared" si="9"/>
        <v>27142.083901585902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8314.16</v>
      </c>
      <c r="G47" s="53">
        <f t="shared" si="3"/>
        <v>2.872547875309614E-2</v>
      </c>
      <c r="H47" s="51">
        <f t="shared" si="6"/>
        <v>8563.5848000000005</v>
      </c>
      <c r="I47" s="53">
        <f t="shared" si="4"/>
        <v>2.7837459920675163E-2</v>
      </c>
      <c r="J47" s="51">
        <f t="shared" si="7"/>
        <v>8820.4923440000002</v>
      </c>
      <c r="K47" s="53">
        <f t="shared" si="5"/>
        <v>2.7569792036822513E-2</v>
      </c>
      <c r="L47" s="51">
        <f t="shared" si="8"/>
        <v>9085.1071143200006</v>
      </c>
      <c r="M47" s="53">
        <f t="shared" si="10"/>
        <v>2.7014222373232703E-2</v>
      </c>
      <c r="N47" s="51">
        <f t="shared" si="9"/>
        <v>9357.6603277496015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3938.7200000000003</v>
      </c>
      <c r="G48" s="53">
        <f t="shared" si="3"/>
        <v>1.3608304107016805E-2</v>
      </c>
      <c r="H48" s="51">
        <f t="shared" si="6"/>
        <v>4056.8816000000002</v>
      </c>
      <c r="I48" s="53">
        <f t="shared" si="4"/>
        <v>1.3187617286504189E-2</v>
      </c>
      <c r="J48" s="51">
        <f t="shared" si="7"/>
        <v>4178.5880480000005</v>
      </c>
      <c r="K48" s="53">
        <f t="shared" si="5"/>
        <v>1.3060813274133956E-2</v>
      </c>
      <c r="L48" s="51">
        <f t="shared" si="8"/>
        <v>4303.9456894400009</v>
      </c>
      <c r="M48" s="53">
        <f>L48/L$40</f>
        <v>1.279761971695266E-2</v>
      </c>
      <c r="N48" s="51">
        <f t="shared" si="9"/>
        <v>4433.0640601232008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3.2810531296856918E-2</v>
      </c>
      <c r="F49" s="51">
        <f>D49*(1+F$43)</f>
        <v>9484.24</v>
      </c>
      <c r="G49" s="53">
        <f t="shared" si="3"/>
        <v>3.2768113027565569E-2</v>
      </c>
      <c r="H49" s="51">
        <f t="shared" si="6"/>
        <v>9768.7672000000002</v>
      </c>
      <c r="I49" s="53">
        <f t="shared" si="4"/>
        <v>3.1755120286122013E-2</v>
      </c>
      <c r="J49" s="51">
        <f t="shared" si="7"/>
        <v>10061.830216</v>
      </c>
      <c r="K49" s="53">
        <f t="shared" si="5"/>
        <v>3.1449782591063145E-2</v>
      </c>
      <c r="L49" s="51">
        <f t="shared" si="8"/>
        <v>10363.685122480001</v>
      </c>
      <c r="M49" s="53">
        <f>L49/L$40</f>
        <v>3.0816025720109854E-2</v>
      </c>
      <c r="N49" s="51">
        <f t="shared" si="9"/>
        <v>10674.595676154402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9517.2000000000007</v>
      </c>
      <c r="G50" s="53">
        <f t="shared" si="3"/>
        <v>3.288199004938161E-2</v>
      </c>
      <c r="H50" s="51">
        <f t="shared" si="6"/>
        <v>9802.7160000000003</v>
      </c>
      <c r="I50" s="53">
        <f t="shared" si="4"/>
        <v>3.1865476916134602E-2</v>
      </c>
      <c r="J50" s="51">
        <f t="shared" si="7"/>
        <v>10096.797480000001</v>
      </c>
      <c r="K50" s="53">
        <f t="shared" si="5"/>
        <v>3.1559078099633306E-2</v>
      </c>
      <c r="L50" s="51">
        <f t="shared" si="8"/>
        <v>10399.701404400001</v>
      </c>
      <c r="M50" s="53">
        <f t="shared" ref="M50:M51" si="11">L50/L$40</f>
        <v>3.0923118772134561E-2</v>
      </c>
      <c r="N50" s="51">
        <f t="shared" si="9"/>
        <v>10711.692446532001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14453.0424</v>
      </c>
      <c r="G51" s="53">
        <f t="shared" si="3"/>
        <v>4.9935358758888174E-2</v>
      </c>
      <c r="H51" s="51">
        <f t="shared" si="6"/>
        <v>14886.633672</v>
      </c>
      <c r="I51" s="53">
        <f t="shared" si="4"/>
        <v>4.8391658152094584E-2</v>
      </c>
      <c r="J51" s="51">
        <f t="shared" si="7"/>
        <v>15333.23268216</v>
      </c>
      <c r="K51" s="53">
        <f t="shared" si="5"/>
        <v>4.7926353746785978E-2</v>
      </c>
      <c r="L51" s="51">
        <f t="shared" si="8"/>
        <v>15793.229662624801</v>
      </c>
      <c r="M51" s="53">
        <f t="shared" si="11"/>
        <v>4.6960571045464708E-2</v>
      </c>
      <c r="N51" s="51">
        <f>L51*(1+N$43)</f>
        <v>16267.026552503545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17343.650880000001</v>
      </c>
      <c r="G52" s="53">
        <f t="shared" si="3"/>
        <v>5.9922430510665807E-2</v>
      </c>
      <c r="H52" s="51">
        <f t="shared" si="6"/>
        <v>17863.960406400001</v>
      </c>
      <c r="I52" s="53">
        <f t="shared" si="4"/>
        <v>5.8069989782513508E-2</v>
      </c>
      <c r="J52" s="51">
        <f t="shared" si="7"/>
        <v>18399.879218592003</v>
      </c>
      <c r="K52" s="53">
        <f t="shared" si="5"/>
        <v>5.7511624496143186E-2</v>
      </c>
      <c r="L52" s="51">
        <f t="shared" si="8"/>
        <v>18951.875595149762</v>
      </c>
      <c r="M52" s="53">
        <f>L52/L$40</f>
        <v>5.6352685254557659E-2</v>
      </c>
      <c r="N52" s="51">
        <f t="shared" si="9"/>
        <v>19520.431863004254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si="9"/>
        <v>5768</v>
      </c>
      <c r="G53" s="55">
        <f t="shared" si="3"/>
        <v>1.9928478817807037E-2</v>
      </c>
      <c r="H53" s="74">
        <f t="shared" si="6"/>
        <v>5941.04</v>
      </c>
      <c r="I53" s="55">
        <f t="shared" si="4"/>
        <v>1.9312410252202789E-2</v>
      </c>
      <c r="J53" s="74">
        <f t="shared" si="7"/>
        <v>6119.2712000000001</v>
      </c>
      <c r="K53" s="55">
        <f t="shared" si="5"/>
        <v>1.9126713999777761E-2</v>
      </c>
      <c r="L53" s="74">
        <f t="shared" si="8"/>
        <v>6302.8493360000002</v>
      </c>
      <c r="M53" s="55">
        <f>L53/L$40</f>
        <v>1.8741284104323977E-2</v>
      </c>
      <c r="N53" s="51">
        <f t="shared" si="9"/>
        <v>6491.93481608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12">SUM(E44:E53)</f>
        <v>0.37176803438976974</v>
      </c>
      <c r="F54" s="2">
        <f t="shared" si="12"/>
        <v>107633.70328000002</v>
      </c>
      <c r="G54" s="34">
        <f t="shared" si="12"/>
        <v>0.37187516919167957</v>
      </c>
      <c r="H54" s="2">
        <f t="shared" si="12"/>
        <v>111041.34037839998</v>
      </c>
      <c r="I54" s="34">
        <f t="shared" si="12"/>
        <v>0.36095968388399191</v>
      </c>
      <c r="J54" s="2">
        <f t="shared" si="12"/>
        <v>114560.137889752</v>
      </c>
      <c r="K54" s="34">
        <f t="shared" si="12"/>
        <v>0.35807515659583616</v>
      </c>
      <c r="L54" s="2">
        <f t="shared" si="12"/>
        <v>118193.87719144457</v>
      </c>
      <c r="M54" s="34">
        <f t="shared" si="12"/>
        <v>0.3514450233142048</v>
      </c>
      <c r="N54" s="2">
        <f t="shared" si="12"/>
        <v>121946.47543043793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181801.33351999999</v>
      </c>
      <c r="G56" s="34"/>
      <c r="H56" s="2">
        <f>H$40-H$54</f>
        <v>196586.75587759999</v>
      </c>
      <c r="I56" s="34"/>
      <c r="J56" s="2">
        <f>J$40-J$54</f>
        <v>205373.08221648802</v>
      </c>
      <c r="K56" s="34"/>
      <c r="L56" s="2">
        <f>L$40-L$54</f>
        <v>218114.41955679219</v>
      </c>
      <c r="M56" s="34"/>
      <c r="N56" s="2">
        <f>N$40-N$54</f>
        <v>227814.15318772837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60196.859161788612</v>
      </c>
      <c r="G59" s="34"/>
      <c r="H59" s="2">
        <f>H$56-H$58</f>
        <v>74982.28151938862</v>
      </c>
      <c r="I59" s="34"/>
      <c r="J59" s="2">
        <f>J$56-J$58</f>
        <v>83768.607858276649</v>
      </c>
      <c r="K59" s="34"/>
      <c r="L59" s="2">
        <f>L$56-L$58</f>
        <v>96509.945198580812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1.4950217455359922</v>
      </c>
      <c r="G62" s="83"/>
      <c r="H62" s="83">
        <f>H$56/($F$7*12)</f>
        <v>1.6166079160748037</v>
      </c>
      <c r="I62" s="83"/>
      <c r="J62" s="83">
        <f>J$56/($F$7*12)</f>
        <v>1.6888612306445132</v>
      </c>
      <c r="K62" s="83"/>
      <c r="L62" s="83">
        <f>L$56/($F$7*12)</f>
        <v>1.7936381100114016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60196.859161788612</v>
      </c>
      <c r="G66" s="22"/>
      <c r="H66" s="73">
        <f>H59</f>
        <v>74982.28151938862</v>
      </c>
      <c r="I66" s="22"/>
      <c r="J66" s="73">
        <f>J59</f>
        <v>83768.607858276649</v>
      </c>
      <c r="K66" s="22"/>
      <c r="L66" s="73">
        <f>L59</f>
        <v>96509.945198580812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3961985.2728300584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-208004.22682357806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54703.549641788602</v>
      </c>
      <c r="E70" s="82"/>
      <c r="F70" s="82">
        <f t="shared" ref="F70:J70" si="13">SUM(F$65:F$69)</f>
        <v>60196.859161788612</v>
      </c>
      <c r="G70" s="82"/>
      <c r="H70" s="82">
        <f t="shared" si="13"/>
        <v>74982.28151938862</v>
      </c>
      <c r="I70" s="82"/>
      <c r="J70" s="82">
        <f t="shared" si="13"/>
        <v>83768.607858276649</v>
      </c>
      <c r="K70" s="82"/>
      <c r="L70" s="82">
        <f>SUM(L$65:L$69)</f>
        <v>2027332.6479442157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5.0887022922594047E-2</v>
      </c>
      <c r="E71" s="1"/>
      <c r="F71" s="92">
        <f>-F$66/$C$70</f>
        <v>5.5997078290035918E-2</v>
      </c>
      <c r="G71" s="1"/>
      <c r="H71" s="92">
        <f>-H$66/$C$70</f>
        <v>6.9750959552919642E-2</v>
      </c>
      <c r="I71" s="1"/>
      <c r="J71" s="92">
        <f>-J$66/$C$70</f>
        <v>7.7924286379792235E-2</v>
      </c>
      <c r="K71" s="1"/>
      <c r="L71" s="92">
        <f>-L$66/$C$70</f>
        <v>8.977669320798215E-2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92">
        <f>IRR(C70:L70)</f>
        <v>0.17749749680973448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2F07-C06B-4DCF-BED5-21FBF6F51AB1}">
  <dimension ref="A1:S118"/>
  <sheetViews>
    <sheetView topLeftCell="A32" zoomScale="115" zoomScaleNormal="115" workbookViewId="0">
      <selection activeCell="R56" sqref="R56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P67/N33</f>
        <v>12.450549773702532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7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P67/B6</f>
        <v>168.55982473042178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P67/B4</f>
        <v>143757.45052008828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1075000</v>
      </c>
    </row>
    <row r="10" spans="1:16">
      <c r="A10" s="124" t="s">
        <v>45</v>
      </c>
      <c r="B10" s="123">
        <f>D56/B9</f>
        <v>5.8769341333333322E-2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:R31" si="0">L31+1</f>
        <v>6</v>
      </c>
      <c r="O31" s="40"/>
      <c r="P31" s="39">
        <f t="shared" si="0"/>
        <v>7</v>
      </c>
      <c r="Q31" s="40"/>
      <c r="R31" s="39">
        <f t="shared" si="0"/>
        <v>8</v>
      </c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110">
        <v>0.03</v>
      </c>
      <c r="Q32" s="22"/>
      <c r="R32" s="110">
        <v>0.03</v>
      </c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7">
        <f>N33*(1+P$32)</f>
        <v>332994.52219822927</v>
      </c>
      <c r="Q33" s="22"/>
      <c r="R33" s="27">
        <f>P33*(1+R$32)</f>
        <v>342984.35786417616</v>
      </c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7">
        <f>N34*(1+P$32)</f>
        <v>14518.748506533204</v>
      </c>
      <c r="Q34" s="22"/>
      <c r="R34" s="27">
        <f>P34*(1+R$32)</f>
        <v>14954.310961729201</v>
      </c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7">
        <f>N35*(1+P$32)</f>
        <v>17591.103029206035</v>
      </c>
      <c r="Q35" s="22"/>
      <c r="R35" s="27">
        <f>P35*(1+R$32)</f>
        <v>18118.836120082218</v>
      </c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"/>
      <c r="P36" s="2">
        <f>SUM(P33:P35)</f>
        <v>365104.37373396853</v>
      </c>
      <c r="Q36" s="2"/>
      <c r="R36" s="2">
        <f>SUM(R33:R35)</f>
        <v>376057.5049459876</v>
      </c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48"/>
      <c r="P38" s="43">
        <v>0.06</v>
      </c>
      <c r="Q38" s="48"/>
      <c r="R38" s="43">
        <v>0.06</v>
      </c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28344.801599999999</v>
      </c>
      <c r="G39" s="49"/>
      <c r="H39" s="49">
        <f t="shared" ref="H39:N39" si="1">H36*H38</f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49"/>
      <c r="P39" s="49">
        <f t="shared" ref="P39" si="2">P36*P38</f>
        <v>21906.262424038112</v>
      </c>
      <c r="Q39" s="49"/>
      <c r="R39" s="49">
        <f t="shared" ref="R39" si="3">R36*R38</f>
        <v>22563.450296759256</v>
      </c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286597.43839999998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"/>
      <c r="P40" s="2">
        <f>P36-P39</f>
        <v>343198.11130993045</v>
      </c>
      <c r="Q40" s="2"/>
      <c r="R40" s="2">
        <f>R36-R39</f>
        <v>353494.05464922835</v>
      </c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9" t="s">
        <v>21</v>
      </c>
      <c r="P42" s="22"/>
      <c r="Q42" s="29" t="s">
        <v>21</v>
      </c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111"/>
      <c r="P43" s="110">
        <v>0.02</v>
      </c>
      <c r="Q43" s="111"/>
      <c r="R43" s="110">
        <v>0.02</v>
      </c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4">D44/D$40</f>
        <v>3.0309120244468392E-2</v>
      </c>
      <c r="F44" s="51">
        <f>D44*1.05</f>
        <v>8931.3000000000011</v>
      </c>
      <c r="G44" s="50">
        <f t="shared" ref="G44:G53" si="5">F44/F$40</f>
        <v>3.1163223404441991E-2</v>
      </c>
      <c r="H44" s="51">
        <f>F44*1.05</f>
        <v>9377.8650000000016</v>
      </c>
      <c r="I44" s="50">
        <f t="shared" ref="I44:I53" si="6">H44/H$40</f>
        <v>3.1085144548433363E-2</v>
      </c>
      <c r="J44" s="51">
        <f>H44*1.05</f>
        <v>9846.7582500000026</v>
      </c>
      <c r="K44" s="50">
        <f t="shared" ref="K44:K53" si="7">J44/J$40</f>
        <v>3.1688739588208774E-2</v>
      </c>
      <c r="L44" s="51">
        <f>J44*1.05</f>
        <v>10339.096162500004</v>
      </c>
      <c r="M44" s="50">
        <f>L44/L$40</f>
        <v>3.1960394761295051E-2</v>
      </c>
      <c r="N44" s="51">
        <f>L44*1.05</f>
        <v>10856.050970625005</v>
      </c>
      <c r="O44" s="50">
        <f>N44/N$40</f>
        <v>3.2580984950834758E-2</v>
      </c>
      <c r="P44" s="51">
        <f>N44*1.05</f>
        <v>11398.853519156255</v>
      </c>
      <c r="Q44" s="50">
        <f>P44/P$40</f>
        <v>3.321362543531698E-2</v>
      </c>
      <c r="R44" s="51">
        <f>P44*1.05</f>
        <v>11968.796195114068</v>
      </c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4"/>
        <v>1.995427620138996E-2</v>
      </c>
      <c r="F45" s="51">
        <f>D45*(1+F$43)</f>
        <v>5712</v>
      </c>
      <c r="G45" s="53">
        <f t="shared" si="5"/>
        <v>1.9930394465102797E-2</v>
      </c>
      <c r="H45" s="51">
        <f t="shared" ref="H45:H53" si="8">F45*(1+H$43)</f>
        <v>5826.24</v>
      </c>
      <c r="I45" s="53">
        <f t="shared" si="6"/>
        <v>1.9312446124343265E-2</v>
      </c>
      <c r="J45" s="51">
        <f t="shared" ref="J45:J53" si="9">H45*(1+J$43)</f>
        <v>5942.7647999999999</v>
      </c>
      <c r="K45" s="53">
        <f t="shared" si="7"/>
        <v>1.9124946647407898E-2</v>
      </c>
      <c r="L45" s="51">
        <f t="shared" ref="L45:L53" si="10">J45*(1+L$43)</f>
        <v>6061.6200959999996</v>
      </c>
      <c r="M45" s="53">
        <f>L45/L$40</f>
        <v>1.8737785984023064E-2</v>
      </c>
      <c r="N45" s="51">
        <f t="shared" ref="F45:R53" si="11">L45*(1+N$43)</f>
        <v>6182.8524979200001</v>
      </c>
      <c r="O45" s="53">
        <f>N45/N$40</f>
        <v>1.8555865731750994E-2</v>
      </c>
      <c r="P45" s="51">
        <f t="shared" si="11"/>
        <v>6306.5095478784006</v>
      </c>
      <c r="Q45" s="53">
        <f>P45/P$40</f>
        <v>1.8375711695520398E-2</v>
      </c>
      <c r="R45" s="51">
        <f t="shared" si="11"/>
        <v>6432.6397388359683</v>
      </c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5"/>
        <v>8.332684385918783E-2</v>
      </c>
      <c r="H46" s="51">
        <f t="shared" si="8"/>
        <v>24358.885200000004</v>
      </c>
      <c r="I46" s="53">
        <f t="shared" si="6"/>
        <v>8.0743268055223028E-2</v>
      </c>
      <c r="J46" s="51">
        <f t="shared" si="9"/>
        <v>24846.062904000006</v>
      </c>
      <c r="K46" s="53">
        <f t="shared" si="7"/>
        <v>7.995935283138593E-2</v>
      </c>
      <c r="L46" s="51">
        <f t="shared" si="10"/>
        <v>25342.984162080007</v>
      </c>
      <c r="M46" s="53">
        <f t="shared" ref="M46:Q47" si="12">L46/L$40</f>
        <v>7.8340675579273586E-2</v>
      </c>
      <c r="N46" s="51">
        <f t="shared" si="11"/>
        <v>25849.843845321608</v>
      </c>
      <c r="O46" s="53">
        <f t="shared" si="12"/>
        <v>7.7580086495979667E-2</v>
      </c>
      <c r="P46" s="51">
        <f t="shared" si="11"/>
        <v>26366.84072222804</v>
      </c>
      <c r="Q46" s="53">
        <f t="shared" si="12"/>
        <v>7.6826881772717709E-2</v>
      </c>
      <c r="R46" s="51">
        <f t="shared" si="11"/>
        <v>26894.177536672603</v>
      </c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4"/>
        <v>2.8762663838860669E-2</v>
      </c>
      <c r="F47" s="51">
        <f>D47*(1+F$43)</f>
        <v>8233.44</v>
      </c>
      <c r="G47" s="53">
        <f t="shared" si="5"/>
        <v>2.8728240021841035E-2</v>
      </c>
      <c r="H47" s="51">
        <f t="shared" si="8"/>
        <v>8398.1088</v>
      </c>
      <c r="I47" s="53">
        <f t="shared" si="6"/>
        <v>2.7837511627803364E-2</v>
      </c>
      <c r="J47" s="51">
        <f t="shared" si="9"/>
        <v>8566.0709760000009</v>
      </c>
      <c r="K47" s="53">
        <f t="shared" si="7"/>
        <v>2.7567244524620813E-2</v>
      </c>
      <c r="L47" s="51">
        <f t="shared" si="10"/>
        <v>8737.3923955200007</v>
      </c>
      <c r="M47" s="53">
        <f t="shared" si="12"/>
        <v>2.7009180082684676E-2</v>
      </c>
      <c r="N47" s="51">
        <f t="shared" si="11"/>
        <v>8912.1402434304</v>
      </c>
      <c r="O47" s="53">
        <f t="shared" si="12"/>
        <v>2.6746955033338217E-2</v>
      </c>
      <c r="P47" s="51">
        <f t="shared" si="11"/>
        <v>9090.3830482990088</v>
      </c>
      <c r="Q47" s="53">
        <f t="shared" si="12"/>
        <v>2.6487275858257261E-2</v>
      </c>
      <c r="R47" s="51">
        <f t="shared" si="11"/>
        <v>9272.190709264989</v>
      </c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4"/>
        <v>1.362592003466343E-2</v>
      </c>
      <c r="F48" s="51">
        <f t="shared" si="11"/>
        <v>3900.48</v>
      </c>
      <c r="G48" s="53">
        <f t="shared" si="5"/>
        <v>1.3609612220455911E-2</v>
      </c>
      <c r="H48" s="51">
        <f t="shared" si="8"/>
        <v>3978.4895999999999</v>
      </c>
      <c r="I48" s="53">
        <f t="shared" si="6"/>
        <v>1.3187641782051545E-2</v>
      </c>
      <c r="J48" s="51">
        <f t="shared" si="9"/>
        <v>4058.0593920000001</v>
      </c>
      <c r="K48" s="53">
        <f t="shared" si="7"/>
        <v>1.305960642494425E-2</v>
      </c>
      <c r="L48" s="51">
        <f t="shared" si="10"/>
        <v>4139.22057984</v>
      </c>
      <c r="M48" s="53">
        <f>L48/L$40</f>
        <v>1.2795231000518607E-2</v>
      </c>
      <c r="N48" s="51">
        <f t="shared" si="11"/>
        <v>4222.0049914368001</v>
      </c>
      <c r="O48" s="53">
        <f>N48/N$40</f>
        <v>1.2671005456824249E-2</v>
      </c>
      <c r="P48" s="51">
        <f t="shared" si="11"/>
        <v>4306.4450912655366</v>
      </c>
      <c r="Q48" s="53">
        <f>P48/P$40</f>
        <v>1.2547985986369645E-2</v>
      </c>
      <c r="R48" s="51">
        <f t="shared" si="11"/>
        <v>4392.5739930908476</v>
      </c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4"/>
        <v>3.2810531296856918E-2</v>
      </c>
      <c r="F49" s="51">
        <f>D49*(1+F$43)</f>
        <v>9392.16</v>
      </c>
      <c r="G49" s="53">
        <f t="shared" si="5"/>
        <v>3.2771262899047603E-2</v>
      </c>
      <c r="H49" s="51">
        <f t="shared" si="8"/>
        <v>9580.0031999999992</v>
      </c>
      <c r="I49" s="53">
        <f t="shared" si="6"/>
        <v>3.1755179270170138E-2</v>
      </c>
      <c r="J49" s="51">
        <f t="shared" si="9"/>
        <v>9771.6032639999994</v>
      </c>
      <c r="K49" s="53">
        <f t="shared" si="7"/>
        <v>3.1446876558809268E-2</v>
      </c>
      <c r="L49" s="51">
        <f t="shared" si="10"/>
        <v>9967.0353292799991</v>
      </c>
      <c r="M49" s="53">
        <f>L49/L$40</f>
        <v>3.0810273810872205E-2</v>
      </c>
      <c r="N49" s="51">
        <f t="shared" si="11"/>
        <v>10166.3760358656</v>
      </c>
      <c r="O49" s="53">
        <f>N49/N$40</f>
        <v>3.0511144938921989E-2</v>
      </c>
      <c r="P49" s="51">
        <f t="shared" si="11"/>
        <v>10369.703556582912</v>
      </c>
      <c r="Q49" s="53">
        <f>P49/P$40</f>
        <v>3.0214920230777109E-2</v>
      </c>
      <c r="R49" s="51">
        <f t="shared" si="11"/>
        <v>10577.097627714571</v>
      </c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5"/>
        <v>3.2885150867419617E-2</v>
      </c>
      <c r="H50" s="51">
        <f t="shared" si="8"/>
        <v>9613.2960000000003</v>
      </c>
      <c r="I50" s="53">
        <f t="shared" si="6"/>
        <v>3.1865536105166389E-2</v>
      </c>
      <c r="J50" s="51">
        <f t="shared" si="9"/>
        <v>9805.5619200000001</v>
      </c>
      <c r="K50" s="53">
        <f t="shared" si="7"/>
        <v>3.1556161968223029E-2</v>
      </c>
      <c r="L50" s="51">
        <f t="shared" si="10"/>
        <v>10001.673158400001</v>
      </c>
      <c r="M50" s="53">
        <f t="shared" ref="M50:Q51" si="13">L50/L$40</f>
        <v>3.091734687363806E-2</v>
      </c>
      <c r="N50" s="51">
        <f t="shared" si="11"/>
        <v>10201.706621568001</v>
      </c>
      <c r="O50" s="53">
        <f t="shared" si="13"/>
        <v>3.0617178457389139E-2</v>
      </c>
      <c r="P50" s="51">
        <f t="shared" si="11"/>
        <v>10405.74075399936</v>
      </c>
      <c r="Q50" s="53">
        <f t="shared" si="13"/>
        <v>3.0319924297608655E-2</v>
      </c>
      <c r="R50" s="51">
        <f t="shared" si="11"/>
        <v>10613.855569079347</v>
      </c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4"/>
        <v>0.05</v>
      </c>
      <c r="F51" s="51">
        <f>D51*(1+F$43)</f>
        <v>14312.721600000001</v>
      </c>
      <c r="G51" s="53">
        <f t="shared" si="5"/>
        <v>4.9940158851049944E-2</v>
      </c>
      <c r="H51" s="51">
        <f t="shared" si="8"/>
        <v>14598.976032</v>
      </c>
      <c r="I51" s="53">
        <f t="shared" si="6"/>
        <v>4.8391748037941905E-2</v>
      </c>
      <c r="J51" s="51">
        <f t="shared" si="9"/>
        <v>14890.95555264</v>
      </c>
      <c r="K51" s="53">
        <f t="shared" si="7"/>
        <v>4.7921925241457039E-2</v>
      </c>
      <c r="L51" s="51">
        <f t="shared" si="10"/>
        <v>15188.7746636928</v>
      </c>
      <c r="M51" s="53">
        <f t="shared" si="13"/>
        <v>4.6951805705480423E-2</v>
      </c>
      <c r="N51" s="51">
        <f>L51*(1+N$43)</f>
        <v>15492.550156966658</v>
      </c>
      <c r="O51" s="53">
        <f t="shared" si="13"/>
        <v>4.6495962931640801E-2</v>
      </c>
      <c r="P51" s="51">
        <f>N51*(1+P$43)</f>
        <v>15802.40116010599</v>
      </c>
      <c r="Q51" s="53">
        <f t="shared" si="13"/>
        <v>4.6044545815799622E-2</v>
      </c>
      <c r="R51" s="51">
        <f>P51*(1+R$43)</f>
        <v>16118.44918330811</v>
      </c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4"/>
        <v>6.0000000000000005E-2</v>
      </c>
      <c r="F52" s="51">
        <f t="shared" si="11"/>
        <v>17175.265919999998</v>
      </c>
      <c r="G52" s="53">
        <f t="shared" si="5"/>
        <v>5.9928190621259925E-2</v>
      </c>
      <c r="H52" s="51">
        <f t="shared" si="8"/>
        <v>17518.771238399997</v>
      </c>
      <c r="I52" s="53">
        <f t="shared" si="6"/>
        <v>5.8070097645530276E-2</v>
      </c>
      <c r="J52" s="51">
        <f t="shared" si="9"/>
        <v>17869.146663167998</v>
      </c>
      <c r="K52" s="53">
        <f t="shared" si="7"/>
        <v>5.7506310289748439E-2</v>
      </c>
      <c r="L52" s="51">
        <f t="shared" si="10"/>
        <v>18226.529596431359</v>
      </c>
      <c r="M52" s="53">
        <f>L52/L$40</f>
        <v>5.6342166846576502E-2</v>
      </c>
      <c r="N52" s="51">
        <f t="shared" si="11"/>
        <v>18591.060188359988</v>
      </c>
      <c r="O52" s="53">
        <f>N52/N$40</f>
        <v>5.5795155517968958E-2</v>
      </c>
      <c r="P52" s="51">
        <f t="shared" si="11"/>
        <v>18962.881392127187</v>
      </c>
      <c r="Q52" s="53">
        <f>P52/P$40</f>
        <v>5.5253454978959539E-2</v>
      </c>
      <c r="R52" s="51">
        <f t="shared" si="11"/>
        <v>19342.139019969731</v>
      </c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4"/>
        <v>1.995427620138996E-2</v>
      </c>
      <c r="F53" s="74">
        <f t="shared" si="11"/>
        <v>5712</v>
      </c>
      <c r="G53" s="55">
        <f t="shared" si="5"/>
        <v>1.9930394465102797E-2</v>
      </c>
      <c r="H53" s="74">
        <f t="shared" si="8"/>
        <v>5826.24</v>
      </c>
      <c r="I53" s="55">
        <f t="shared" si="6"/>
        <v>1.9312446124343265E-2</v>
      </c>
      <c r="J53" s="74">
        <f t="shared" si="9"/>
        <v>5942.7647999999999</v>
      </c>
      <c r="K53" s="55">
        <f t="shared" si="7"/>
        <v>1.9124946647407898E-2</v>
      </c>
      <c r="L53" s="74">
        <f t="shared" si="10"/>
        <v>6061.6200959999996</v>
      </c>
      <c r="M53" s="55">
        <f>L53/L$40</f>
        <v>1.8737785984023064E-2</v>
      </c>
      <c r="N53" s="51">
        <f t="shared" si="11"/>
        <v>6182.8524979200001</v>
      </c>
      <c r="O53" s="55">
        <f>N53/N$40</f>
        <v>1.8555865731750994E-2</v>
      </c>
      <c r="P53" s="51">
        <f t="shared" si="11"/>
        <v>6306.5095478784006</v>
      </c>
      <c r="Q53" s="55">
        <f>P53/P$40</f>
        <v>1.8375711695520398E-2</v>
      </c>
      <c r="R53" s="51">
        <f t="shared" si="11"/>
        <v>6432.6397388359683</v>
      </c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K54" si="14">SUM(E44:E53)</f>
        <v>0.37176803438976974</v>
      </c>
      <c r="F54" s="2">
        <f t="shared" si="14"/>
        <v>106675.42752000003</v>
      </c>
      <c r="G54" s="34">
        <f t="shared" si="14"/>
        <v>0.37221347167490948</v>
      </c>
      <c r="H54" s="2">
        <f t="shared" si="14"/>
        <v>109076.87507040003</v>
      </c>
      <c r="I54" s="34">
        <f t="shared" si="14"/>
        <v>0.36156101932100648</v>
      </c>
      <c r="J54" s="2">
        <f t="shared" si="14"/>
        <v>111539.748521808</v>
      </c>
      <c r="K54" s="34">
        <f t="shared" si="14"/>
        <v>0.35895611072221334</v>
      </c>
      <c r="L54" s="2">
        <f t="shared" ref="L54:R54" si="15">SUM(L44:L53)</f>
        <v>114065.94623974417</v>
      </c>
      <c r="M54" s="34">
        <f t="shared" si="15"/>
        <v>0.35260264662838525</v>
      </c>
      <c r="N54" s="2">
        <f t="shared" si="15"/>
        <v>116657.43804941405</v>
      </c>
      <c r="O54" s="34">
        <f t="shared" si="15"/>
        <v>0.35011020524639974</v>
      </c>
      <c r="P54" s="2">
        <f t="shared" si="15"/>
        <v>119316.26833952111</v>
      </c>
      <c r="Q54" s="34">
        <f t="shared" si="15"/>
        <v>0.34766003776684734</v>
      </c>
      <c r="R54" s="2">
        <f t="shared" si="15"/>
        <v>122044.5593118862</v>
      </c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179922.01087999996</v>
      </c>
      <c r="G56" s="34"/>
      <c r="H56" s="2">
        <f>H$40-H$54</f>
        <v>192606.29662560002</v>
      </c>
      <c r="I56" s="34"/>
      <c r="J56" s="2">
        <f>J$40-J$54</f>
        <v>199193.91832507198</v>
      </c>
      <c r="K56" s="34"/>
      <c r="L56" s="2">
        <f>L$40-L$54</f>
        <v>209431.18950342704</v>
      </c>
      <c r="M56" s="34"/>
      <c r="N56" s="2">
        <f>N$40-N$54</f>
        <v>216544.61176605235</v>
      </c>
      <c r="O56" s="34"/>
      <c r="P56" s="2">
        <f>P$40-P$54</f>
        <v>223881.84297040934</v>
      </c>
      <c r="Q56" s="34"/>
      <c r="R56" s="2">
        <f>R$40-R$54</f>
        <v>231449.49533734214</v>
      </c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7">
        <f>J58</f>
        <v>121604.47435821137</v>
      </c>
      <c r="O58" s="22"/>
      <c r="P58" s="27">
        <f>L58</f>
        <v>121604.47435821137</v>
      </c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58317.536521788585</v>
      </c>
      <c r="G59" s="34"/>
      <c r="H59" s="2">
        <f>H$56-H$58</f>
        <v>71001.822267388648</v>
      </c>
      <c r="I59" s="34"/>
      <c r="J59" s="2">
        <f>J$56-J$58</f>
        <v>77589.443966860606</v>
      </c>
      <c r="K59" s="34"/>
      <c r="L59" s="2">
        <f>L$56-L$58</f>
        <v>87826.715145215669</v>
      </c>
      <c r="M59" s="34"/>
      <c r="N59" s="2">
        <f>N$56-N$58</f>
        <v>94940.137407840972</v>
      </c>
      <c r="O59" s="34"/>
      <c r="P59" s="2">
        <f>P$56-P$58</f>
        <v>102277.36861219797</v>
      </c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84"/>
      <c r="N61" s="84">
        <f>PV($F$6/12,$F$5-(N31*12),$F$7)</f>
        <v>-1782769.7346566711</v>
      </c>
      <c r="O61" s="84"/>
      <c r="P61" s="84">
        <f>PV($F$6/12,$F$5-(P31*12),$F$7)</f>
        <v>-1740525.6804395879</v>
      </c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1.4795673582700757</v>
      </c>
      <c r="G62" s="83"/>
      <c r="H62" s="83">
        <f>H$56/($F$7*12)</f>
        <v>1.5838750806013762</v>
      </c>
      <c r="I62" s="83"/>
      <c r="J62" s="83">
        <f>J$56/($F$7*12)</f>
        <v>1.6380476078396975</v>
      </c>
      <c r="K62" s="83"/>
      <c r="L62" s="83">
        <f>L$56/($F$7*12)</f>
        <v>1.7222325955417046</v>
      </c>
      <c r="M62" s="83"/>
      <c r="N62" s="83">
        <f>N$56/($F$7*12)</f>
        <v>1.7807289814696701</v>
      </c>
      <c r="O62" s="83"/>
      <c r="P62" s="83">
        <f>P$56/($F$7*12)</f>
        <v>1.8410658337366652</v>
      </c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>
        <f>L64+1</f>
        <v>6</v>
      </c>
      <c r="O64" s="39"/>
      <c r="P64" s="39">
        <f>N64+1</f>
        <v>7</v>
      </c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58317.536521788585</v>
      </c>
      <c r="G66" s="22"/>
      <c r="H66" s="73">
        <f>H59</f>
        <v>71001.822267388648</v>
      </c>
      <c r="I66" s="22"/>
      <c r="J66" s="73">
        <f>J59</f>
        <v>77589.443966860606</v>
      </c>
      <c r="K66" s="22"/>
      <c r="L66" s="73">
        <f>L59</f>
        <v>87826.715145215669</v>
      </c>
      <c r="M66" s="22"/>
      <c r="N66" s="73">
        <f>N59</f>
        <v>94940.137407840972</v>
      </c>
      <c r="O66" s="22"/>
      <c r="P66" s="73">
        <f>P59</f>
        <v>102277.36861219797</v>
      </c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M67" s="22"/>
      <c r="N67" s="22"/>
      <c r="O67" s="22"/>
      <c r="P67" s="73">
        <f>R56/M2</f>
        <v>4025208.6145624719</v>
      </c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M68" s="22"/>
      <c r="N68" s="22"/>
      <c r="O68" s="22"/>
      <c r="P68" s="82">
        <f>-M8*P67</f>
        <v>-211323.45226452977</v>
      </c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M69" s="22"/>
      <c r="N69" s="22"/>
      <c r="O69" s="22"/>
      <c r="P69" s="85">
        <f>P61</f>
        <v>-1740525.6804395879</v>
      </c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54703.549641788602</v>
      </c>
      <c r="E70" s="82"/>
      <c r="F70" s="82">
        <f t="shared" ref="F70:J70" si="16">SUM(F$65:F$69)</f>
        <v>58317.536521788585</v>
      </c>
      <c r="G70" s="82"/>
      <c r="H70" s="82">
        <f t="shared" si="16"/>
        <v>71001.822267388648</v>
      </c>
      <c r="I70" s="82"/>
      <c r="J70" s="82">
        <f t="shared" si="16"/>
        <v>77589.443966860606</v>
      </c>
      <c r="K70" s="82"/>
      <c r="L70" s="82">
        <f>SUM(L$65:L$69)</f>
        <v>87826.715145215669</v>
      </c>
      <c r="M70" s="82"/>
      <c r="N70" s="82">
        <f t="shared" ref="N70" si="17">SUM(N$65:N$69)</f>
        <v>94940.137407840972</v>
      </c>
      <c r="O70" s="82"/>
      <c r="P70" s="82">
        <f>SUM(P$65:P$69)</f>
        <v>2175636.8504705522</v>
      </c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5.0887022922594047E-2</v>
      </c>
      <c r="E71" s="1"/>
      <c r="F71" s="92">
        <f>-F$66/$C$70</f>
        <v>5.4248871183059148E-2</v>
      </c>
      <c r="G71" s="1"/>
      <c r="H71" s="92">
        <f>-H$66/$C$70</f>
        <v>6.6048206760361536E-2</v>
      </c>
      <c r="I71" s="1"/>
      <c r="J71" s="92">
        <f>-J$66/$C$70</f>
        <v>7.2176226945916841E-2</v>
      </c>
      <c r="K71" s="1"/>
      <c r="L71" s="92">
        <f>-L$66/$C$70</f>
        <v>8.1699269902526198E-2</v>
      </c>
      <c r="M71" s="1"/>
      <c r="N71" s="92">
        <f>-N$66/$C$70</f>
        <v>8.8316406891014859E-2</v>
      </c>
      <c r="O71" s="1"/>
      <c r="P71" s="92">
        <f>-P$66/$C$70</f>
        <v>9.5141738243905094E-2</v>
      </c>
      <c r="Q71" s="22"/>
      <c r="R71" s="22"/>
      <c r="S71" s="22"/>
    </row>
    <row r="72" spans="1:19">
      <c r="A72" s="1" t="s">
        <v>79</v>
      </c>
      <c r="B72" s="1"/>
      <c r="C72" s="92">
        <f>IRR(C70:P70)</f>
        <v>0.15179797803817463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127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8243-E667-4D6C-A609-E5547847B5C4}">
  <dimension ref="A1:S118"/>
  <sheetViews>
    <sheetView topLeftCell="A28" zoomScale="115" zoomScaleNormal="115" workbookViewId="0">
      <selection activeCell="B65" sqref="B65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0.666875</v>
      </c>
      <c r="F2" s="114">
        <v>2134000</v>
      </c>
      <c r="H2" s="141" t="s">
        <v>13</v>
      </c>
      <c r="I2" s="142"/>
      <c r="J2" s="116">
        <f>F3</f>
        <v>1066000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0.333125</v>
      </c>
      <c r="F3" s="12">
        <f>B9-F2</f>
        <v>1066000</v>
      </c>
      <c r="H3" s="8" t="s">
        <v>54</v>
      </c>
      <c r="I3" s="117">
        <v>2E-3</v>
      </c>
      <c r="J3" s="77">
        <f>I3*B9</f>
        <v>6400</v>
      </c>
      <c r="L3" s="124" t="s">
        <v>50</v>
      </c>
      <c r="M3" s="79">
        <f>L67/N33</f>
        <v>11.648759324753369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26675</v>
      </c>
      <c r="L4" s="124" t="s">
        <v>51</v>
      </c>
      <c r="M4" s="19">
        <f>L67/B6</f>
        <v>157.70490988715486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134499.75886090207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10812.664511684294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1.3588080271478522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3200000</v>
      </c>
      <c r="H9" s="143" t="s">
        <v>52</v>
      </c>
      <c r="I9" s="143"/>
      <c r="J9" s="81">
        <f>SUM(J2:J8)</f>
        <v>1143075</v>
      </c>
    </row>
    <row r="10" spans="1:16">
      <c r="A10" s="124" t="s">
        <v>45</v>
      </c>
      <c r="B10" s="123">
        <f>D56/B9</f>
        <v>5.5096257499999995E-2</v>
      </c>
      <c r="H10" s="4"/>
      <c r="I10" s="4"/>
    </row>
    <row r="11" spans="1:16">
      <c r="A11" s="124" t="s">
        <v>3</v>
      </c>
      <c r="B11" s="79">
        <f>B9/D33</f>
        <v>11.251758087201125</v>
      </c>
      <c r="H11" s="4"/>
      <c r="I11" s="4"/>
    </row>
    <row r="12" spans="1:16">
      <c r="A12" s="124" t="s">
        <v>9</v>
      </c>
      <c r="B12" s="19">
        <f>B9/B6</f>
        <v>134.00335008375208</v>
      </c>
      <c r="H12" s="4"/>
      <c r="I12" s="4"/>
    </row>
    <row r="13" spans="1:16">
      <c r="A13" s="124" t="s">
        <v>11</v>
      </c>
      <c r="B13" s="19">
        <f>B9/B4</f>
        <v>114285.71428571429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28344.801599999999</v>
      </c>
      <c r="G39" s="49"/>
      <c r="H39" s="49">
        <f t="shared" ref="H39:N39" si="1">H36*H38</f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286597.43839999998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3.1163223404441991E-2</v>
      </c>
      <c r="H44" s="51">
        <f>F44*1.05</f>
        <v>9377.8650000000016</v>
      </c>
      <c r="I44" s="50">
        <f t="shared" ref="I44:I53" si="4">H44/H$40</f>
        <v>3.1085144548433363E-2</v>
      </c>
      <c r="J44" s="51">
        <f>H44*1.05</f>
        <v>9846.7582500000026</v>
      </c>
      <c r="K44" s="50">
        <f t="shared" ref="K44:K53" si="5">J44/J$40</f>
        <v>3.1688739588208774E-2</v>
      </c>
      <c r="L44" s="51">
        <f>J44*1.05</f>
        <v>10339.096162500004</v>
      </c>
      <c r="M44" s="50">
        <f>L44/L$40</f>
        <v>3.1960394761295051E-2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5712</v>
      </c>
      <c r="G45" s="53">
        <f t="shared" si="3"/>
        <v>1.9930394465102797E-2</v>
      </c>
      <c r="H45" s="51">
        <f t="shared" ref="H45:H53" si="6">F45*(1+H$43)</f>
        <v>5826.24</v>
      </c>
      <c r="I45" s="53">
        <f t="shared" si="4"/>
        <v>1.9312446124343265E-2</v>
      </c>
      <c r="J45" s="51">
        <f t="shared" ref="J45:J53" si="7">H45*(1+J$43)</f>
        <v>5942.7647999999999</v>
      </c>
      <c r="K45" s="53">
        <f t="shared" si="5"/>
        <v>1.9124946647407898E-2</v>
      </c>
      <c r="L45" s="51">
        <f t="shared" ref="L45:L53" si="8">J45*(1+L$43)</f>
        <v>6061.6200959999996</v>
      </c>
      <c r="M45" s="53">
        <f>L45/L$40</f>
        <v>1.8737785984023064E-2</v>
      </c>
      <c r="N45" s="51">
        <f t="shared" ref="F45:N53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3"/>
        <v>8.332684385918783E-2</v>
      </c>
      <c r="H46" s="51">
        <f t="shared" si="6"/>
        <v>24358.885200000004</v>
      </c>
      <c r="I46" s="53">
        <f t="shared" si="4"/>
        <v>8.0743268055223028E-2</v>
      </c>
      <c r="J46" s="51">
        <f t="shared" si="7"/>
        <v>24846.062904000006</v>
      </c>
      <c r="K46" s="53">
        <f t="shared" si="5"/>
        <v>7.995935283138593E-2</v>
      </c>
      <c r="L46" s="51">
        <f t="shared" si="8"/>
        <v>25342.984162080007</v>
      </c>
      <c r="M46" s="53">
        <f t="shared" ref="M46:M47" si="10">L46/L$40</f>
        <v>7.8340675579273586E-2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8233.44</v>
      </c>
      <c r="G47" s="53">
        <f t="shared" si="3"/>
        <v>2.8728240021841035E-2</v>
      </c>
      <c r="H47" s="51">
        <f t="shared" si="6"/>
        <v>8398.1088</v>
      </c>
      <c r="I47" s="53">
        <f t="shared" si="4"/>
        <v>2.7837511627803364E-2</v>
      </c>
      <c r="J47" s="51">
        <f t="shared" si="7"/>
        <v>8566.0709760000009</v>
      </c>
      <c r="K47" s="53">
        <f t="shared" si="5"/>
        <v>2.7567244524620813E-2</v>
      </c>
      <c r="L47" s="51">
        <f t="shared" si="8"/>
        <v>8737.3923955200007</v>
      </c>
      <c r="M47" s="53">
        <f t="shared" si="10"/>
        <v>2.7009180082684676E-2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3900.48</v>
      </c>
      <c r="G48" s="53">
        <f t="shared" si="3"/>
        <v>1.3609612220455911E-2</v>
      </c>
      <c r="H48" s="51">
        <f t="shared" si="6"/>
        <v>3978.4895999999999</v>
      </c>
      <c r="I48" s="53">
        <f t="shared" si="4"/>
        <v>1.3187641782051545E-2</v>
      </c>
      <c r="J48" s="51">
        <f t="shared" si="7"/>
        <v>4058.0593920000001</v>
      </c>
      <c r="K48" s="53">
        <f t="shared" si="5"/>
        <v>1.305960642494425E-2</v>
      </c>
      <c r="L48" s="51">
        <f t="shared" si="8"/>
        <v>4139.22057984</v>
      </c>
      <c r="M48" s="53">
        <f>L48/L$40</f>
        <v>1.2795231000518607E-2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3.2810531296856918E-2</v>
      </c>
      <c r="F49" s="51">
        <f>D49*(1+F$43)</f>
        <v>9392.16</v>
      </c>
      <c r="G49" s="53">
        <f t="shared" si="3"/>
        <v>3.2771262899047603E-2</v>
      </c>
      <c r="H49" s="51">
        <f t="shared" si="6"/>
        <v>9580.0031999999992</v>
      </c>
      <c r="I49" s="53">
        <f t="shared" si="4"/>
        <v>3.1755179270170138E-2</v>
      </c>
      <c r="J49" s="51">
        <f t="shared" si="7"/>
        <v>9771.6032639999994</v>
      </c>
      <c r="K49" s="53">
        <f t="shared" si="5"/>
        <v>3.1446876558809268E-2</v>
      </c>
      <c r="L49" s="51">
        <f t="shared" si="8"/>
        <v>9967.0353292799991</v>
      </c>
      <c r="M49" s="53">
        <f>L49/L$40</f>
        <v>3.0810273810872205E-2</v>
      </c>
      <c r="N49" s="51">
        <f t="shared" si="9"/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3"/>
        <v>3.2885150867419617E-2</v>
      </c>
      <c r="H50" s="51">
        <f t="shared" si="6"/>
        <v>9613.2960000000003</v>
      </c>
      <c r="I50" s="53">
        <f t="shared" si="4"/>
        <v>3.1865536105166389E-2</v>
      </c>
      <c r="J50" s="51">
        <f t="shared" si="7"/>
        <v>9805.5619200000001</v>
      </c>
      <c r="K50" s="53">
        <f t="shared" si="5"/>
        <v>3.1556161968223029E-2</v>
      </c>
      <c r="L50" s="51">
        <f t="shared" si="8"/>
        <v>10001.673158400001</v>
      </c>
      <c r="M50" s="53">
        <f t="shared" ref="M50:M51" si="11">L50/L$40</f>
        <v>3.091734687363806E-2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14312.721600000001</v>
      </c>
      <c r="G51" s="53">
        <f t="shared" si="3"/>
        <v>4.9940158851049944E-2</v>
      </c>
      <c r="H51" s="51">
        <f t="shared" si="6"/>
        <v>14598.976032</v>
      </c>
      <c r="I51" s="53">
        <f t="shared" si="4"/>
        <v>4.8391748037941905E-2</v>
      </c>
      <c r="J51" s="51">
        <f t="shared" si="7"/>
        <v>14890.95555264</v>
      </c>
      <c r="K51" s="53">
        <f t="shared" si="5"/>
        <v>4.7921925241457039E-2</v>
      </c>
      <c r="L51" s="51">
        <f t="shared" si="8"/>
        <v>15188.7746636928</v>
      </c>
      <c r="M51" s="53">
        <f t="shared" si="11"/>
        <v>4.6951805705480423E-2</v>
      </c>
      <c r="N51" s="51">
        <f>L51*(1+N$43)</f>
        <v>15492.550156966658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17175.265919999998</v>
      </c>
      <c r="G52" s="53">
        <f t="shared" si="3"/>
        <v>5.9928190621259925E-2</v>
      </c>
      <c r="H52" s="51">
        <f t="shared" si="6"/>
        <v>17518.771238399997</v>
      </c>
      <c r="I52" s="53">
        <f t="shared" si="4"/>
        <v>5.8070097645530276E-2</v>
      </c>
      <c r="J52" s="51">
        <f t="shared" si="7"/>
        <v>17869.146663167998</v>
      </c>
      <c r="K52" s="53">
        <f t="shared" si="5"/>
        <v>5.7506310289748439E-2</v>
      </c>
      <c r="L52" s="51">
        <f t="shared" si="8"/>
        <v>18226.529596431359</v>
      </c>
      <c r="M52" s="53">
        <f>L52/L$40</f>
        <v>5.6342166846576502E-2</v>
      </c>
      <c r="N52" s="51">
        <f t="shared" si="9"/>
        <v>18591.060188359988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si="9"/>
        <v>5712</v>
      </c>
      <c r="G53" s="55">
        <f t="shared" si="3"/>
        <v>1.9930394465102797E-2</v>
      </c>
      <c r="H53" s="74">
        <f t="shared" si="6"/>
        <v>5826.24</v>
      </c>
      <c r="I53" s="55">
        <f t="shared" si="4"/>
        <v>1.9312446124343265E-2</v>
      </c>
      <c r="J53" s="74">
        <f t="shared" si="7"/>
        <v>5942.7647999999999</v>
      </c>
      <c r="K53" s="55">
        <f t="shared" si="5"/>
        <v>1.9124946647407898E-2</v>
      </c>
      <c r="L53" s="74">
        <f t="shared" si="8"/>
        <v>6061.6200959999996</v>
      </c>
      <c r="M53" s="55">
        <f>L53/L$40</f>
        <v>1.8737785984023064E-2</v>
      </c>
      <c r="N53" s="51">
        <f t="shared" si="9"/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12">SUM(E44:E53)</f>
        <v>0.37176803438976974</v>
      </c>
      <c r="F54" s="2">
        <f t="shared" si="12"/>
        <v>106675.42752000003</v>
      </c>
      <c r="G54" s="34">
        <f t="shared" si="12"/>
        <v>0.37221347167490948</v>
      </c>
      <c r="H54" s="2">
        <f t="shared" si="12"/>
        <v>109076.87507040003</v>
      </c>
      <c r="I54" s="34">
        <f t="shared" si="12"/>
        <v>0.36156101932100648</v>
      </c>
      <c r="J54" s="2">
        <f t="shared" si="12"/>
        <v>111539.748521808</v>
      </c>
      <c r="K54" s="34">
        <f t="shared" si="12"/>
        <v>0.35895611072221334</v>
      </c>
      <c r="L54" s="2">
        <f t="shared" si="12"/>
        <v>114065.94623974417</v>
      </c>
      <c r="M54" s="34">
        <f t="shared" si="12"/>
        <v>0.35260264662838525</v>
      </c>
      <c r="N54" s="2">
        <f t="shared" si="12"/>
        <v>116657.43804941405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179922.01087999996</v>
      </c>
      <c r="G56" s="34"/>
      <c r="H56" s="2">
        <f>H$40-H$54</f>
        <v>192606.29662560002</v>
      </c>
      <c r="I56" s="34"/>
      <c r="J56" s="2">
        <f>J$40-J$54</f>
        <v>199193.91832507198</v>
      </c>
      <c r="K56" s="34"/>
      <c r="L56" s="2">
        <f>L$40-L$54</f>
        <v>209431.18950342704</v>
      </c>
      <c r="M56" s="34"/>
      <c r="N56" s="2">
        <f>N$40-N$54</f>
        <v>216544.61176605235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129751.97414021153</v>
      </c>
      <c r="E58" s="113"/>
      <c r="F58" s="112">
        <f>D58</f>
        <v>129751.97414021153</v>
      </c>
      <c r="G58" s="47"/>
      <c r="H58" s="27">
        <f>D58</f>
        <v>129751.97414021153</v>
      </c>
      <c r="I58" s="47"/>
      <c r="J58" s="27">
        <f>F58</f>
        <v>129751.97414021153</v>
      </c>
      <c r="K58" s="47"/>
      <c r="L58" s="27">
        <f>H58</f>
        <v>129751.97414021153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46556.049859788443</v>
      </c>
      <c r="E59" s="34"/>
      <c r="F59" s="2">
        <f>F$56-F$58</f>
        <v>50170.036739788426</v>
      </c>
      <c r="G59" s="34"/>
      <c r="H59" s="2">
        <f>H$56-H$58</f>
        <v>62854.322485388489</v>
      </c>
      <c r="I59" s="34"/>
      <c r="J59" s="2">
        <f>J$56-J$58</f>
        <v>69441.944184860447</v>
      </c>
      <c r="K59" s="34"/>
      <c r="L59" s="2">
        <f>L$56-L$58</f>
        <v>79679.21536321551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-2099573.7423994318</v>
      </c>
      <c r="E61" s="84"/>
      <c r="F61" s="84">
        <f>PV($F$6/12,$F$5-(F31*12),$F$7)</f>
        <v>-2063565.9485479128</v>
      </c>
      <c r="G61" s="84"/>
      <c r="H61" s="84">
        <f>PV($F$6/12,$F$5-(H31*12),$F$7)</f>
        <v>-2025903.962946757</v>
      </c>
      <c r="I61" s="84"/>
      <c r="J61" s="84">
        <f>PV($F$6/12,$F$5-(J31*12),$F$7)</f>
        <v>-1986511.792316403</v>
      </c>
      <c r="K61" s="84"/>
      <c r="L61" s="84">
        <f>PV($F$6/12,$F$5-(L31*12),$F$7)</f>
        <v>-1945309.9522593219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1.3588080271478522</v>
      </c>
      <c r="E62" s="84"/>
      <c r="F62" s="83">
        <f>F$56/($F$7*12)</f>
        <v>1.3866610667948227</v>
      </c>
      <c r="G62" s="83"/>
      <c r="H62" s="83">
        <f>H$56/($F$7*12)</f>
        <v>1.4844190071240639</v>
      </c>
      <c r="I62" s="83"/>
      <c r="J62" s="83">
        <f>J$56/($F$7*12)</f>
        <v>1.5351898855104944</v>
      </c>
      <c r="K62" s="83"/>
      <c r="L62" s="83">
        <f>L$56/($F$7*12)</f>
        <v>1.6140886556154683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-1143075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46556.049859788443</v>
      </c>
      <c r="E66" s="22"/>
      <c r="F66" s="73">
        <f>F59</f>
        <v>50170.036739788426</v>
      </c>
      <c r="G66" s="22"/>
      <c r="H66" s="73">
        <f>H59</f>
        <v>62854.322485388489</v>
      </c>
      <c r="I66" s="22"/>
      <c r="J66" s="73">
        <f>J59</f>
        <v>69441.944184860447</v>
      </c>
      <c r="K66" s="22"/>
      <c r="L66" s="73">
        <f>L59</f>
        <v>79679.21536321551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3765993.2481052582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-197714.64552552605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-1945309.9522593219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-1143075</v>
      </c>
      <c r="D70" s="82">
        <f>SUM(D$65:D$69)</f>
        <v>46556.049859788443</v>
      </c>
      <c r="E70" s="82"/>
      <c r="F70" s="82">
        <f t="shared" ref="F70:J70" si="13">SUM(F$65:F$69)</f>
        <v>50170.036739788426</v>
      </c>
      <c r="G70" s="82"/>
      <c r="H70" s="82">
        <f t="shared" si="13"/>
        <v>62854.322485388489</v>
      </c>
      <c r="I70" s="82"/>
      <c r="J70" s="82">
        <f t="shared" si="13"/>
        <v>69441.944184860447</v>
      </c>
      <c r="K70" s="82"/>
      <c r="L70" s="82">
        <f>SUM(L$65:L$69)</f>
        <v>1702647.8656836257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129">
        <f>-D$66/$C$70</f>
        <v>4.0728779703683875E-2</v>
      </c>
      <c r="E71" s="1"/>
      <c r="F71" s="92">
        <f>-F$66/$C$70</f>
        <v>4.3890415536853161E-2</v>
      </c>
      <c r="G71" s="1"/>
      <c r="H71" s="92">
        <f>-H$66/$C$70</f>
        <v>5.4987050268257544E-2</v>
      </c>
      <c r="I71" s="1"/>
      <c r="J71" s="92">
        <f>-J$66/$C$70</f>
        <v>6.0750120670000171E-2</v>
      </c>
      <c r="K71" s="1"/>
      <c r="L71" s="92">
        <f>-L$66/$C$70</f>
        <v>6.9706025731658475E-2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129">
        <f>IRR(C70:L70)</f>
        <v>0.11861882402938462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EEA4-8E85-4ADE-9CA4-02F28E02F60D}">
  <dimension ref="A1:S118"/>
  <sheetViews>
    <sheetView topLeftCell="A19" zoomScale="115" zoomScaleNormal="115" workbookViewId="0">
      <selection activeCell="C72" sqref="C72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L67/N33</f>
        <v>11.648759324753369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L67/B6</f>
        <v>157.70490988715486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134499.75886090207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I8*B4+200000</f>
        <v>228000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1275000</v>
      </c>
    </row>
    <row r="10" spans="1:16">
      <c r="A10" s="124" t="s">
        <v>45</v>
      </c>
      <c r="B10" s="123">
        <f>D56/B9</f>
        <v>5.8769341333333322E-2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28344.801599999999</v>
      </c>
      <c r="G39" s="49"/>
      <c r="H39" s="49">
        <f t="shared" ref="H39:N39" si="1">H36*H38</f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286597.43839999998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3.1163223404441991E-2</v>
      </c>
      <c r="H44" s="51">
        <f>F44*1.05</f>
        <v>9377.8650000000016</v>
      </c>
      <c r="I44" s="50">
        <f t="shared" ref="I44:I53" si="4">H44/H$40</f>
        <v>3.1085144548433363E-2</v>
      </c>
      <c r="J44" s="51">
        <f>H44*1.05</f>
        <v>9846.7582500000026</v>
      </c>
      <c r="K44" s="50">
        <f t="shared" ref="K44:K53" si="5">J44/J$40</f>
        <v>3.1688739588208774E-2</v>
      </c>
      <c r="L44" s="51">
        <f>J44*1.05</f>
        <v>10339.096162500004</v>
      </c>
      <c r="M44" s="50">
        <f>L44/L$40</f>
        <v>3.1960394761295051E-2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5712</v>
      </c>
      <c r="G45" s="53">
        <f t="shared" si="3"/>
        <v>1.9930394465102797E-2</v>
      </c>
      <c r="H45" s="51">
        <f t="shared" ref="H45:H53" si="6">F45*(1+H$43)</f>
        <v>5826.24</v>
      </c>
      <c r="I45" s="53">
        <f t="shared" si="4"/>
        <v>1.9312446124343265E-2</v>
      </c>
      <c r="J45" s="51">
        <f t="shared" ref="J45:J53" si="7">H45*(1+J$43)</f>
        <v>5942.7647999999999</v>
      </c>
      <c r="K45" s="53">
        <f t="shared" si="5"/>
        <v>1.9124946647407898E-2</v>
      </c>
      <c r="L45" s="51">
        <f t="shared" ref="L45:L53" si="8">J45*(1+L$43)</f>
        <v>6061.6200959999996</v>
      </c>
      <c r="M45" s="53">
        <f>L45/L$40</f>
        <v>1.8737785984023064E-2</v>
      </c>
      <c r="N45" s="51">
        <f t="shared" ref="F45:N53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3"/>
        <v>8.332684385918783E-2</v>
      </c>
      <c r="H46" s="51">
        <f t="shared" si="6"/>
        <v>24358.885200000004</v>
      </c>
      <c r="I46" s="53">
        <f t="shared" si="4"/>
        <v>8.0743268055223028E-2</v>
      </c>
      <c r="J46" s="51">
        <f t="shared" si="7"/>
        <v>24846.062904000006</v>
      </c>
      <c r="K46" s="53">
        <f t="shared" si="5"/>
        <v>7.995935283138593E-2</v>
      </c>
      <c r="L46" s="51">
        <f t="shared" si="8"/>
        <v>25342.984162080007</v>
      </c>
      <c r="M46" s="53">
        <f t="shared" ref="M46:M47" si="10">L46/L$40</f>
        <v>7.8340675579273586E-2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8233.44</v>
      </c>
      <c r="G47" s="53">
        <f t="shared" si="3"/>
        <v>2.8728240021841035E-2</v>
      </c>
      <c r="H47" s="51">
        <f t="shared" si="6"/>
        <v>8398.1088</v>
      </c>
      <c r="I47" s="53">
        <f t="shared" si="4"/>
        <v>2.7837511627803364E-2</v>
      </c>
      <c r="J47" s="51">
        <f t="shared" si="7"/>
        <v>8566.0709760000009</v>
      </c>
      <c r="K47" s="53">
        <f t="shared" si="5"/>
        <v>2.7567244524620813E-2</v>
      </c>
      <c r="L47" s="51">
        <f t="shared" si="8"/>
        <v>8737.3923955200007</v>
      </c>
      <c r="M47" s="53">
        <f t="shared" si="10"/>
        <v>2.7009180082684676E-2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3900.48</v>
      </c>
      <c r="G48" s="53">
        <f t="shared" si="3"/>
        <v>1.3609612220455911E-2</v>
      </c>
      <c r="H48" s="51">
        <f t="shared" si="6"/>
        <v>3978.4895999999999</v>
      </c>
      <c r="I48" s="53">
        <f t="shared" si="4"/>
        <v>1.3187641782051545E-2</v>
      </c>
      <c r="J48" s="51">
        <f t="shared" si="7"/>
        <v>4058.0593920000001</v>
      </c>
      <c r="K48" s="53">
        <f t="shared" si="5"/>
        <v>1.305960642494425E-2</v>
      </c>
      <c r="L48" s="51">
        <f t="shared" si="8"/>
        <v>4139.22057984</v>
      </c>
      <c r="M48" s="53">
        <f>L48/L$40</f>
        <v>1.2795231000518607E-2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3.2810531296856918E-2</v>
      </c>
      <c r="F49" s="51">
        <f>D49*(1+F$43)</f>
        <v>9392.16</v>
      </c>
      <c r="G49" s="53">
        <f t="shared" si="3"/>
        <v>3.2771262899047603E-2</v>
      </c>
      <c r="H49" s="51">
        <f t="shared" si="6"/>
        <v>9580.0031999999992</v>
      </c>
      <c r="I49" s="53">
        <f t="shared" si="4"/>
        <v>3.1755179270170138E-2</v>
      </c>
      <c r="J49" s="51">
        <f t="shared" si="7"/>
        <v>9771.6032639999994</v>
      </c>
      <c r="K49" s="53">
        <f t="shared" si="5"/>
        <v>3.1446876558809268E-2</v>
      </c>
      <c r="L49" s="51">
        <f t="shared" si="8"/>
        <v>9967.0353292799991</v>
      </c>
      <c r="M49" s="53">
        <f>L49/L$40</f>
        <v>3.0810273810872205E-2</v>
      </c>
      <c r="N49" s="51">
        <f t="shared" si="9"/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3"/>
        <v>3.2885150867419617E-2</v>
      </c>
      <c r="H50" s="51">
        <f t="shared" si="6"/>
        <v>9613.2960000000003</v>
      </c>
      <c r="I50" s="53">
        <f t="shared" si="4"/>
        <v>3.1865536105166389E-2</v>
      </c>
      <c r="J50" s="51">
        <f t="shared" si="7"/>
        <v>9805.5619200000001</v>
      </c>
      <c r="K50" s="53">
        <f t="shared" si="5"/>
        <v>3.1556161968223029E-2</v>
      </c>
      <c r="L50" s="51">
        <f t="shared" si="8"/>
        <v>10001.673158400001</v>
      </c>
      <c r="M50" s="53">
        <f t="shared" ref="M50:M51" si="11">L50/L$40</f>
        <v>3.091734687363806E-2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14312.721600000001</v>
      </c>
      <c r="G51" s="53">
        <f t="shared" si="3"/>
        <v>4.9940158851049944E-2</v>
      </c>
      <c r="H51" s="51">
        <f t="shared" si="6"/>
        <v>14598.976032</v>
      </c>
      <c r="I51" s="53">
        <f t="shared" si="4"/>
        <v>4.8391748037941905E-2</v>
      </c>
      <c r="J51" s="51">
        <f t="shared" si="7"/>
        <v>14890.95555264</v>
      </c>
      <c r="K51" s="53">
        <f t="shared" si="5"/>
        <v>4.7921925241457039E-2</v>
      </c>
      <c r="L51" s="51">
        <f t="shared" si="8"/>
        <v>15188.7746636928</v>
      </c>
      <c r="M51" s="53">
        <f t="shared" si="11"/>
        <v>4.6951805705480423E-2</v>
      </c>
      <c r="N51" s="51">
        <f>L51*(1+N$43)</f>
        <v>15492.550156966658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17175.265919999998</v>
      </c>
      <c r="G52" s="53">
        <f t="shared" si="3"/>
        <v>5.9928190621259925E-2</v>
      </c>
      <c r="H52" s="51">
        <f t="shared" si="6"/>
        <v>17518.771238399997</v>
      </c>
      <c r="I52" s="53">
        <f t="shared" si="4"/>
        <v>5.8070097645530276E-2</v>
      </c>
      <c r="J52" s="51">
        <f t="shared" si="7"/>
        <v>17869.146663167998</v>
      </c>
      <c r="K52" s="53">
        <f t="shared" si="5"/>
        <v>5.7506310289748439E-2</v>
      </c>
      <c r="L52" s="51">
        <f t="shared" si="8"/>
        <v>18226.529596431359</v>
      </c>
      <c r="M52" s="53">
        <f>L52/L$40</f>
        <v>5.6342166846576502E-2</v>
      </c>
      <c r="N52" s="51">
        <f t="shared" si="9"/>
        <v>18591.060188359988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si="9"/>
        <v>5712</v>
      </c>
      <c r="G53" s="55">
        <f t="shared" si="3"/>
        <v>1.9930394465102797E-2</v>
      </c>
      <c r="H53" s="74">
        <f t="shared" si="6"/>
        <v>5826.24</v>
      </c>
      <c r="I53" s="55">
        <f t="shared" si="4"/>
        <v>1.9312446124343265E-2</v>
      </c>
      <c r="J53" s="74">
        <f t="shared" si="7"/>
        <v>5942.7647999999999</v>
      </c>
      <c r="K53" s="55">
        <f t="shared" si="5"/>
        <v>1.9124946647407898E-2</v>
      </c>
      <c r="L53" s="74">
        <f t="shared" si="8"/>
        <v>6061.6200959999996</v>
      </c>
      <c r="M53" s="55">
        <f>L53/L$40</f>
        <v>1.8737785984023064E-2</v>
      </c>
      <c r="N53" s="51">
        <f t="shared" si="9"/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12">SUM(E44:E53)</f>
        <v>0.37176803438976974</v>
      </c>
      <c r="F54" s="2">
        <f t="shared" si="12"/>
        <v>106675.42752000003</v>
      </c>
      <c r="G54" s="34">
        <f t="shared" si="12"/>
        <v>0.37221347167490948</v>
      </c>
      <c r="H54" s="2">
        <f t="shared" si="12"/>
        <v>109076.87507040003</v>
      </c>
      <c r="I54" s="34">
        <f t="shared" si="12"/>
        <v>0.36156101932100648</v>
      </c>
      <c r="J54" s="2">
        <f t="shared" si="12"/>
        <v>111539.748521808</v>
      </c>
      <c r="K54" s="34">
        <f t="shared" si="12"/>
        <v>0.35895611072221334</v>
      </c>
      <c r="L54" s="2">
        <f t="shared" si="12"/>
        <v>114065.94623974417</v>
      </c>
      <c r="M54" s="34">
        <f t="shared" si="12"/>
        <v>0.35260264662838525</v>
      </c>
      <c r="N54" s="2">
        <f t="shared" si="12"/>
        <v>116657.43804941405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179922.01087999996</v>
      </c>
      <c r="G56" s="34"/>
      <c r="H56" s="2">
        <f>H$40-H$54</f>
        <v>192606.29662560002</v>
      </c>
      <c r="I56" s="34"/>
      <c r="J56" s="2">
        <f>J$40-J$54</f>
        <v>199193.91832507198</v>
      </c>
      <c r="K56" s="34"/>
      <c r="L56" s="2">
        <f>L$40-L$54</f>
        <v>209431.18950342704</v>
      </c>
      <c r="M56" s="34"/>
      <c r="N56" s="2">
        <f>N$40-N$54</f>
        <v>216544.61176605235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58317.536521788585</v>
      </c>
      <c r="G59" s="34"/>
      <c r="H59" s="2">
        <f>H$56-H$58</f>
        <v>71001.822267388648</v>
      </c>
      <c r="I59" s="34"/>
      <c r="J59" s="2">
        <f>J$56-J$58</f>
        <v>77589.443966860606</v>
      </c>
      <c r="K59" s="34"/>
      <c r="L59" s="2">
        <f>L$56-L$58</f>
        <v>87826.715145215669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1.4795673582700757</v>
      </c>
      <c r="G62" s="83"/>
      <c r="H62" s="83">
        <f>H$56/($F$7*12)</f>
        <v>1.5838750806013762</v>
      </c>
      <c r="I62" s="83"/>
      <c r="J62" s="83">
        <f>J$56/($F$7*12)</f>
        <v>1.6380476078396975</v>
      </c>
      <c r="K62" s="83"/>
      <c r="L62" s="83">
        <f>L$56/($F$7*12)</f>
        <v>1.7222325955417046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-1275000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58317.536521788585</v>
      </c>
      <c r="G66" s="22"/>
      <c r="H66" s="73">
        <f>H59</f>
        <v>71001.822267388648</v>
      </c>
      <c r="I66" s="22"/>
      <c r="J66" s="73">
        <f>J59</f>
        <v>77589.443966860606</v>
      </c>
      <c r="K66" s="22"/>
      <c r="L66" s="73">
        <f>L59</f>
        <v>87826.715145215669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3765993.2481052582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-197714.64552552605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-1275000</v>
      </c>
      <c r="D70" s="82">
        <f>SUM(D$65:D$69)</f>
        <v>54703.549641788602</v>
      </c>
      <c r="E70" s="82"/>
      <c r="F70" s="82">
        <f t="shared" ref="F70:J70" si="13">SUM(F$65:F$69)</f>
        <v>58317.536521788585</v>
      </c>
      <c r="G70" s="82"/>
      <c r="H70" s="82">
        <f t="shared" si="13"/>
        <v>71001.822267388648</v>
      </c>
      <c r="I70" s="82"/>
      <c r="J70" s="82">
        <f t="shared" si="13"/>
        <v>77589.443966860606</v>
      </c>
      <c r="K70" s="82"/>
      <c r="L70" s="82">
        <f>SUM(L$65:L$69)</f>
        <v>1832946.9744641026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129">
        <f>-D$66/$C$70</f>
        <v>4.2904744817089099E-2</v>
      </c>
      <c r="E71" s="1"/>
      <c r="F71" s="92">
        <f>-F$66/$C$70</f>
        <v>4.5739244330814575E-2</v>
      </c>
      <c r="G71" s="1"/>
      <c r="H71" s="92">
        <f>-H$66/$C$70</f>
        <v>5.5687703739128354E-2</v>
      </c>
      <c r="I71" s="1"/>
      <c r="J71" s="92">
        <f>-J$66/$C$70</f>
        <v>6.0854465856361263E-2</v>
      </c>
      <c r="K71" s="1"/>
      <c r="L71" s="92">
        <f>-L$66/$C$70</f>
        <v>6.8883698153110323E-2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129">
        <f>IRR(C70:L70)</f>
        <v>0.11233127370765228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7E1C-46E0-4488-BB09-0E0CEA2A76E3}">
  <dimension ref="A1:S118"/>
  <sheetViews>
    <sheetView topLeftCell="A31" zoomScale="115" zoomScaleNormal="115" workbookViewId="0">
      <selection activeCell="E28" sqref="E28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L67/N33</f>
        <v>11.829781859013682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L67/B6</f>
        <v>164.91275388145843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140647.02009604385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I8*B4+200000</f>
        <v>228000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1275000</v>
      </c>
    </row>
    <row r="10" spans="1:16">
      <c r="A10" s="124" t="s">
        <v>45</v>
      </c>
      <c r="B10" s="123">
        <f>D56/B9</f>
        <v>5.8769341333333322E-2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37">
        <v>0.04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295776</v>
      </c>
      <c r="G33" s="27"/>
      <c r="H33" s="27">
        <f>F33*(1+H$32)</f>
        <v>304649.28000000003</v>
      </c>
      <c r="I33" s="27"/>
      <c r="J33" s="27">
        <f>H33*(1+J$32)</f>
        <v>313788.75840000005</v>
      </c>
      <c r="K33" s="27"/>
      <c r="L33" s="27">
        <f>J33*(1+L$32)</f>
        <v>323202.42115200008</v>
      </c>
      <c r="M33" s="27"/>
      <c r="N33" s="27">
        <f>L33*(1+N$32)</f>
        <v>332898.49378656008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12896</v>
      </c>
      <c r="G34" s="27"/>
      <c r="H34" s="27">
        <f>F34*(1+H$32)</f>
        <v>13282.880000000001</v>
      </c>
      <c r="I34" s="27"/>
      <c r="J34" s="27">
        <f>H34*(1+J$32)</f>
        <v>13681.366400000001</v>
      </c>
      <c r="K34" s="27"/>
      <c r="L34" s="27">
        <f>J34*(1+L$32)</f>
        <v>14091.807392000001</v>
      </c>
      <c r="M34" s="27"/>
      <c r="N34" s="27">
        <f>L34*(1+N$32)</f>
        <v>14514.561613760001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15624.960000000001</v>
      </c>
      <c r="G35" s="27"/>
      <c r="H35" s="27">
        <f>F35*(1+H$32)</f>
        <v>16093.708800000002</v>
      </c>
      <c r="I35" s="27"/>
      <c r="J35" s="27">
        <f>H35*(1+J$32)</f>
        <v>16576.520064000004</v>
      </c>
      <c r="K35" s="27"/>
      <c r="L35" s="27">
        <f>J35*(1+L$32)</f>
        <v>17073.815665920003</v>
      </c>
      <c r="M35" s="27"/>
      <c r="N35" s="27">
        <f>L35*(1+N$32)</f>
        <v>17586.030135897603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324296.96000000002</v>
      </c>
      <c r="G36" s="2"/>
      <c r="H36" s="2">
        <f>SUM(H33:H35)</f>
        <v>334025.86880000005</v>
      </c>
      <c r="I36" s="2"/>
      <c r="J36" s="2">
        <f>SUM(J33:J35)</f>
        <v>344046.64486400003</v>
      </c>
      <c r="K36" s="2"/>
      <c r="L36" s="2">
        <f>SUM(L33:L35)</f>
        <v>354368.0442099201</v>
      </c>
      <c r="M36" s="2"/>
      <c r="N36" s="2">
        <f>SUM(N33:N35)</f>
        <v>364999.08553621772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>F36*F38</f>
        <v>29186.7264</v>
      </c>
      <c r="G39" s="49"/>
      <c r="H39" s="49">
        <f t="shared" ref="H39:N39" si="1">H36*H38</f>
        <v>23381.810816000005</v>
      </c>
      <c r="I39" s="49"/>
      <c r="J39" s="49">
        <f t="shared" si="1"/>
        <v>24083.265140480005</v>
      </c>
      <c r="K39" s="49"/>
      <c r="L39" s="49">
        <f t="shared" si="1"/>
        <v>21262.082652595207</v>
      </c>
      <c r="M39" s="49"/>
      <c r="N39" s="49">
        <f t="shared" si="1"/>
        <v>21899.945132173063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295110.23360000004</v>
      </c>
      <c r="G40" s="2"/>
      <c r="H40" s="2">
        <f>H36-H39</f>
        <v>310644.05798400007</v>
      </c>
      <c r="I40" s="2"/>
      <c r="J40" s="2">
        <f>J36-J39</f>
        <v>319963.37972352002</v>
      </c>
      <c r="K40" s="2"/>
      <c r="L40" s="2">
        <f>L36-L39</f>
        <v>333105.96155732492</v>
      </c>
      <c r="M40" s="2"/>
      <c r="N40" s="2">
        <f>N36-N39</f>
        <v>343099.14040404465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3.0264284267775388E-2</v>
      </c>
      <c r="H44" s="51">
        <f>F44*1.05</f>
        <v>9377.8650000000016</v>
      </c>
      <c r="I44" s="50">
        <f t="shared" ref="I44:I53" si="4">H44/H$40</f>
        <v>3.0188457686459318E-2</v>
      </c>
      <c r="J44" s="51">
        <f>H44*1.05</f>
        <v>9846.7582500000026</v>
      </c>
      <c r="K44" s="50">
        <f t="shared" ref="K44:K53" si="5">J44/J$40</f>
        <v>3.0774641330856597E-2</v>
      </c>
      <c r="L44" s="51">
        <f>J44*1.05</f>
        <v>10339.096162500004</v>
      </c>
      <c r="M44" s="50">
        <f>L44/L$40</f>
        <v>3.1038460297026917E-2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5712</v>
      </c>
      <c r="G45" s="53">
        <f t="shared" si="3"/>
        <v>1.9355479240147907E-2</v>
      </c>
      <c r="H45" s="51">
        <f t="shared" ref="H45:H53" si="6">F45*(1+H$43)</f>
        <v>5826.24</v>
      </c>
      <c r="I45" s="53">
        <f t="shared" si="4"/>
        <v>1.8755356332294901E-2</v>
      </c>
      <c r="J45" s="51">
        <f t="shared" ref="J45:J53" si="7">H45*(1+J$43)</f>
        <v>5942.7647999999999</v>
      </c>
      <c r="K45" s="53">
        <f t="shared" si="5"/>
        <v>1.8573265494117284E-2</v>
      </c>
      <c r="L45" s="51">
        <f t="shared" ref="L45:L53" si="8">J45*(1+L$43)</f>
        <v>6061.6200959999996</v>
      </c>
      <c r="M45" s="53">
        <f>L45/L$40</f>
        <v>1.8197272926791623E-2</v>
      </c>
      <c r="N45" s="51">
        <f t="shared" ref="F45:N53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3"/>
        <v>8.0923184901711243E-2</v>
      </c>
      <c r="H46" s="51">
        <f t="shared" si="6"/>
        <v>24358.885200000004</v>
      </c>
      <c r="I46" s="53">
        <f t="shared" si="4"/>
        <v>7.8414135322860817E-2</v>
      </c>
      <c r="J46" s="51">
        <f t="shared" si="7"/>
        <v>24846.062904000006</v>
      </c>
      <c r="K46" s="53">
        <f t="shared" si="5"/>
        <v>7.7652833038172872E-2</v>
      </c>
      <c r="L46" s="51">
        <f t="shared" si="8"/>
        <v>25342.984162080007</v>
      </c>
      <c r="M46" s="53">
        <f t="shared" ref="M46:M47" si="10">L46/L$40</f>
        <v>7.6080848399102216E-2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8233.44</v>
      </c>
      <c r="G47" s="53">
        <f t="shared" si="3"/>
        <v>2.7899540790441772E-2</v>
      </c>
      <c r="H47" s="51">
        <f t="shared" si="6"/>
        <v>8398.1088</v>
      </c>
      <c r="I47" s="53">
        <f t="shared" si="4"/>
        <v>2.703450648469365E-2</v>
      </c>
      <c r="J47" s="51">
        <f t="shared" si="7"/>
        <v>8566.0709760000009</v>
      </c>
      <c r="K47" s="53">
        <f t="shared" si="5"/>
        <v>2.6772035547949057E-2</v>
      </c>
      <c r="L47" s="51">
        <f t="shared" si="8"/>
        <v>8737.3923955200007</v>
      </c>
      <c r="M47" s="53">
        <f t="shared" si="10"/>
        <v>2.6230069118761072E-2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3900.48</v>
      </c>
      <c r="G48" s="53">
        <f t="shared" si="3"/>
        <v>1.3217027252558142E-2</v>
      </c>
      <c r="H48" s="51">
        <f t="shared" si="6"/>
        <v>3978.4895999999999</v>
      </c>
      <c r="I48" s="53">
        <f t="shared" si="4"/>
        <v>1.2807229038338518E-2</v>
      </c>
      <c r="J48" s="51">
        <f t="shared" si="7"/>
        <v>4058.0593920000001</v>
      </c>
      <c r="K48" s="53">
        <f t="shared" si="5"/>
        <v>1.2682887008840089E-2</v>
      </c>
      <c r="L48" s="51">
        <f t="shared" si="8"/>
        <v>4139.22057984</v>
      </c>
      <c r="M48" s="53">
        <f>L48/L$40</f>
        <v>1.2426137798580567E-2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3.2810531296856918E-2</v>
      </c>
      <c r="F49" s="51">
        <f>D49*(1+F$43)</f>
        <v>9392.16</v>
      </c>
      <c r="G49" s="53">
        <f t="shared" si="3"/>
        <v>3.1825938007728913E-2</v>
      </c>
      <c r="H49" s="51">
        <f t="shared" si="6"/>
        <v>9580.0031999999992</v>
      </c>
      <c r="I49" s="53">
        <f t="shared" si="4"/>
        <v>3.0839164483530614E-2</v>
      </c>
      <c r="J49" s="51">
        <f t="shared" si="7"/>
        <v>9771.6032639999994</v>
      </c>
      <c r="K49" s="53">
        <f t="shared" si="5"/>
        <v>3.0539755119612846E-2</v>
      </c>
      <c r="L49" s="51">
        <f t="shared" si="8"/>
        <v>9967.0353292799991</v>
      </c>
      <c r="M49" s="53">
        <f>L49/L$40</f>
        <v>2.9921515912481652E-2</v>
      </c>
      <c r="N49" s="51">
        <f t="shared" si="9"/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3"/>
        <v>3.1936540746244045E-2</v>
      </c>
      <c r="H50" s="51">
        <f t="shared" si="6"/>
        <v>9613.2960000000003</v>
      </c>
      <c r="I50" s="53">
        <f t="shared" si="4"/>
        <v>3.0946337948286586E-2</v>
      </c>
      <c r="J50" s="51">
        <f t="shared" si="7"/>
        <v>9805.5619200000001</v>
      </c>
      <c r="K50" s="53">
        <f t="shared" si="5"/>
        <v>3.0645888065293517E-2</v>
      </c>
      <c r="L50" s="51">
        <f t="shared" si="8"/>
        <v>10001.673158400001</v>
      </c>
      <c r="M50" s="53">
        <f t="shared" ref="M50:M51" si="11">L50/L$40</f>
        <v>3.002550032920618E-2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14312.721600000001</v>
      </c>
      <c r="G51" s="53">
        <f t="shared" si="3"/>
        <v>4.8499577345731189E-2</v>
      </c>
      <c r="H51" s="51">
        <f t="shared" si="6"/>
        <v>14598.976032</v>
      </c>
      <c r="I51" s="53">
        <f t="shared" si="4"/>
        <v>4.6995832229155113E-2</v>
      </c>
      <c r="J51" s="51">
        <f t="shared" si="7"/>
        <v>14890.95555264</v>
      </c>
      <c r="K51" s="53">
        <f t="shared" si="5"/>
        <v>4.653956201333808E-2</v>
      </c>
      <c r="L51" s="51">
        <f t="shared" si="8"/>
        <v>15188.7746636928</v>
      </c>
      <c r="M51" s="53">
        <f t="shared" si="11"/>
        <v>4.5597426694745397E-2</v>
      </c>
      <c r="N51" s="51">
        <f>L51*(1+N$43)</f>
        <v>15492.550156966658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17175.265919999998</v>
      </c>
      <c r="G52" s="53">
        <f t="shared" si="3"/>
        <v>5.8199492814877414E-2</v>
      </c>
      <c r="H52" s="51">
        <f t="shared" si="6"/>
        <v>17518.771238399997</v>
      </c>
      <c r="I52" s="53">
        <f t="shared" si="4"/>
        <v>5.6394998674986124E-2</v>
      </c>
      <c r="J52" s="51">
        <f t="shared" si="7"/>
        <v>17869.146663167998</v>
      </c>
      <c r="K52" s="53">
        <f t="shared" si="5"/>
        <v>5.5847474416005689E-2</v>
      </c>
      <c r="L52" s="51">
        <f t="shared" si="8"/>
        <v>18226.529596431359</v>
      </c>
      <c r="M52" s="53">
        <f>L52/L$40</f>
        <v>5.471691203369447E-2</v>
      </c>
      <c r="N52" s="51">
        <f t="shared" si="9"/>
        <v>18591.060188359988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si="9"/>
        <v>5712</v>
      </c>
      <c r="G53" s="55">
        <f t="shared" si="3"/>
        <v>1.9355479240147907E-2</v>
      </c>
      <c r="H53" s="74">
        <f t="shared" si="6"/>
        <v>5826.24</v>
      </c>
      <c r="I53" s="55">
        <f t="shared" si="4"/>
        <v>1.8755356332294901E-2</v>
      </c>
      <c r="J53" s="74">
        <f t="shared" si="7"/>
        <v>5942.7647999999999</v>
      </c>
      <c r="K53" s="55">
        <f t="shared" si="5"/>
        <v>1.8573265494117284E-2</v>
      </c>
      <c r="L53" s="74">
        <f t="shared" si="8"/>
        <v>6061.6200959999996</v>
      </c>
      <c r="M53" s="55">
        <f>L53/L$40</f>
        <v>1.8197272926791623E-2</v>
      </c>
      <c r="N53" s="51">
        <f t="shared" si="9"/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12">SUM(E44:E53)</f>
        <v>0.37176803438976974</v>
      </c>
      <c r="F54" s="2">
        <f t="shared" si="12"/>
        <v>106675.42752000003</v>
      </c>
      <c r="G54" s="34">
        <f t="shared" si="12"/>
        <v>0.36147654460736395</v>
      </c>
      <c r="H54" s="2">
        <f t="shared" si="12"/>
        <v>109076.87507040003</v>
      </c>
      <c r="I54" s="34">
        <f t="shared" si="12"/>
        <v>0.35113137453290061</v>
      </c>
      <c r="J54" s="2">
        <f t="shared" si="12"/>
        <v>111539.748521808</v>
      </c>
      <c r="K54" s="34">
        <f t="shared" si="12"/>
        <v>0.34860160752830333</v>
      </c>
      <c r="L54" s="2">
        <f t="shared" si="12"/>
        <v>114065.94623974417</v>
      </c>
      <c r="M54" s="34">
        <f t="shared" si="12"/>
        <v>0.34243141643718167</v>
      </c>
      <c r="N54" s="2">
        <f t="shared" si="12"/>
        <v>116657.43804941405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188434.80608000001</v>
      </c>
      <c r="G56" s="34"/>
      <c r="H56" s="2">
        <f>H$40-H$54</f>
        <v>201567.18291360006</v>
      </c>
      <c r="I56" s="34"/>
      <c r="J56" s="2">
        <f>J$40-J$54</f>
        <v>208423.63120171201</v>
      </c>
      <c r="K56" s="34"/>
      <c r="L56" s="2">
        <f>L$40-L$54</f>
        <v>219040.01531758075</v>
      </c>
      <c r="M56" s="34"/>
      <c r="N56" s="2">
        <f>N$40-N$54</f>
        <v>226441.7023546306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66830.331721788636</v>
      </c>
      <c r="G59" s="34"/>
      <c r="H59" s="2">
        <f>H$56-H$58</f>
        <v>79962.708555388686</v>
      </c>
      <c r="I59" s="34"/>
      <c r="J59" s="2">
        <f>J$56-J$58</f>
        <v>86819.156843500634</v>
      </c>
      <c r="K59" s="34"/>
      <c r="L59" s="2">
        <f>L$56-L$58</f>
        <v>97435.540959369377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1.5495713218982876</v>
      </c>
      <c r="G62" s="83"/>
      <c r="H62" s="83">
        <f>H$56/($F$7*12)</f>
        <v>1.6575638682491389</v>
      </c>
      <c r="I62" s="83"/>
      <c r="J62" s="83">
        <f>J$56/($F$7*12)</f>
        <v>1.713947059116893</v>
      </c>
      <c r="K62" s="83"/>
      <c r="L62" s="83">
        <f>L$56/($F$7*12)</f>
        <v>1.8012496371831899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-1275000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66830.331721788636</v>
      </c>
      <c r="G66" s="22"/>
      <c r="H66" s="73">
        <f>H59</f>
        <v>79962.708555388686</v>
      </c>
      <c r="I66" s="22"/>
      <c r="J66" s="73">
        <f>J59</f>
        <v>86819.156843500634</v>
      </c>
      <c r="K66" s="22"/>
      <c r="L66" s="73">
        <f>L59</f>
        <v>97435.540959369377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3938116.5626892275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-206751.11954118442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-1275000</v>
      </c>
      <c r="D70" s="82">
        <f>SUM(D$65:D$69)</f>
        <v>54703.549641788602</v>
      </c>
      <c r="E70" s="82"/>
      <c r="F70" s="82">
        <f t="shared" ref="F70:J70" si="13">SUM(F$65:F$69)</f>
        <v>66830.331721788636</v>
      </c>
      <c r="G70" s="82"/>
      <c r="H70" s="82">
        <f t="shared" si="13"/>
        <v>79962.708555388686</v>
      </c>
      <c r="I70" s="82"/>
      <c r="J70" s="82">
        <f t="shared" si="13"/>
        <v>86819.156843500634</v>
      </c>
      <c r="K70" s="82"/>
      <c r="L70" s="82">
        <f>SUM(L$65:L$69)</f>
        <v>2005642.6408465672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129">
        <f>-D$66/$C$70</f>
        <v>4.2904744817089099E-2</v>
      </c>
      <c r="E71" s="1"/>
      <c r="F71" s="92">
        <f>-F$66/$C$70</f>
        <v>5.2415946448461675E-2</v>
      </c>
      <c r="G71" s="1"/>
      <c r="H71" s="92">
        <f>-H$66/$C$70</f>
        <v>6.2715849847363669E-2</v>
      </c>
      <c r="I71" s="1"/>
      <c r="J71" s="92">
        <f>-J$66/$C$70</f>
        <v>6.8093456347843639E-2</v>
      </c>
      <c r="K71" s="1"/>
      <c r="L71" s="92">
        <f>-L$66/$C$70</f>
        <v>7.6420032124995596E-2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129">
        <f>IRR(C70:L70)</f>
        <v>0.13439838458927333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1542-ED1C-4AB5-84A9-C1EA68D7B0C9}">
  <dimension ref="A1:S118"/>
  <sheetViews>
    <sheetView topLeftCell="A34" zoomScale="115" zoomScaleNormal="115" workbookViewId="0">
      <selection activeCell="D70" sqref="D70"/>
    </sheetView>
  </sheetViews>
  <sheetFormatPr baseColWidth="10" defaultColWidth="11.5" defaultRowHeight="16"/>
  <cols>
    <col min="1" max="1" width="34.6640625" style="4" bestFit="1" customWidth="1"/>
    <col min="2" max="2" width="24.6640625" style="4" bestFit="1" customWidth="1"/>
    <col min="3" max="3" width="24.83203125" style="4" customWidth="1"/>
    <col min="4" max="4" width="19.5" style="4" bestFit="1" customWidth="1"/>
    <col min="5" max="5" width="19.5" style="4" customWidth="1"/>
    <col min="6" max="6" width="18.1640625" style="4" bestFit="1" customWidth="1"/>
    <col min="7" max="7" width="18.1640625" style="4" customWidth="1"/>
    <col min="8" max="8" width="25" style="21" bestFit="1" customWidth="1"/>
    <col min="9" max="9" width="25" style="21" customWidth="1"/>
    <col min="10" max="10" width="16.6640625" style="4" customWidth="1"/>
    <col min="11" max="11" width="14.33203125" style="4" customWidth="1"/>
    <col min="12" max="12" width="20.5" style="4" bestFit="1" customWidth="1"/>
    <col min="13" max="13" width="18.33203125" style="4" customWidth="1"/>
    <col min="14" max="14" width="24.1640625" style="4" bestFit="1" customWidth="1"/>
    <col min="15" max="15" width="20.6640625" style="4" bestFit="1" customWidth="1"/>
    <col min="16" max="16" width="16.5" style="4" bestFit="1" customWidth="1"/>
    <col min="17" max="17" width="21" style="4" bestFit="1" customWidth="1"/>
    <col min="18" max="18" width="13.6640625" style="4" bestFit="1" customWidth="1"/>
    <col min="19" max="16384" width="11.5" style="4"/>
  </cols>
  <sheetData>
    <row r="1" spans="1:16">
      <c r="A1" s="144" t="s">
        <v>12</v>
      </c>
      <c r="B1" s="144"/>
      <c r="D1" s="146" t="s">
        <v>47</v>
      </c>
      <c r="E1" s="146"/>
      <c r="F1" s="146"/>
      <c r="H1" s="146" t="s">
        <v>53</v>
      </c>
      <c r="I1" s="146"/>
      <c r="J1" s="146"/>
      <c r="L1" s="144" t="s">
        <v>48</v>
      </c>
      <c r="M1" s="144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41" t="s">
        <v>13</v>
      </c>
      <c r="I2" s="142"/>
      <c r="J2" s="116">
        <f>F3</f>
        <v>1000000</v>
      </c>
      <c r="L2" s="124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24" t="s">
        <v>50</v>
      </c>
      <c r="M3" s="79">
        <f>L67/N33</f>
        <v>11.529204407531916</v>
      </c>
    </row>
    <row r="4" spans="1:16">
      <c r="A4" s="6" t="s">
        <v>2</v>
      </c>
      <c r="B4" s="7">
        <v>28</v>
      </c>
      <c r="D4" s="141" t="s">
        <v>7</v>
      </c>
      <c r="E4" s="147"/>
      <c r="F4" s="76">
        <v>5</v>
      </c>
      <c r="H4" s="124" t="s">
        <v>55</v>
      </c>
      <c r="I4" s="118">
        <v>1.2500000000000001E-2</v>
      </c>
      <c r="J4" s="77">
        <f>I4*F2</f>
        <v>25000</v>
      </c>
      <c r="L4" s="124" t="s">
        <v>51</v>
      </c>
      <c r="M4" s="19">
        <f>L67/B6</f>
        <v>156.08633430143473</v>
      </c>
    </row>
    <row r="5" spans="1:16">
      <c r="A5" s="100" t="s">
        <v>82</v>
      </c>
      <c r="B5" s="101" t="s">
        <v>83</v>
      </c>
      <c r="D5" s="141" t="s">
        <v>1</v>
      </c>
      <c r="E5" s="147"/>
      <c r="F5" s="13">
        <v>360</v>
      </c>
      <c r="H5" s="148" t="s">
        <v>57</v>
      </c>
      <c r="I5" s="149"/>
      <c r="J5" s="119">
        <v>1500</v>
      </c>
      <c r="L5" s="124" t="s">
        <v>60</v>
      </c>
      <c r="M5" s="19">
        <f>L67/B4</f>
        <v>133119.34511136648</v>
      </c>
    </row>
    <row r="6" spans="1:16">
      <c r="A6" s="6" t="s">
        <v>23</v>
      </c>
      <c r="B6" s="115">
        <v>23880</v>
      </c>
      <c r="D6" s="141" t="s">
        <v>8</v>
      </c>
      <c r="E6" s="147"/>
      <c r="F6" s="14">
        <v>4.4999999999999998E-2</v>
      </c>
      <c r="H6" s="148" t="s">
        <v>58</v>
      </c>
      <c r="I6" s="149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41" t="s">
        <v>14</v>
      </c>
      <c r="E7" s="147"/>
      <c r="F7" s="15">
        <f>-PMT(F6/12,F5,F2)</f>
        <v>10133.706196517614</v>
      </c>
      <c r="G7" s="16"/>
      <c r="H7" s="148" t="s">
        <v>56</v>
      </c>
      <c r="I7" s="149"/>
      <c r="J7" s="119">
        <v>13000</v>
      </c>
      <c r="L7" s="105" t="s">
        <v>54</v>
      </c>
      <c r="M7" s="120">
        <v>7.4999999999999997E-3</v>
      </c>
    </row>
    <row r="8" spans="1:16">
      <c r="A8" s="124" t="s">
        <v>19</v>
      </c>
      <c r="B8" s="7">
        <f>B6/B4</f>
        <v>852.85714285714289</v>
      </c>
      <c r="D8" s="145" t="s">
        <v>15</v>
      </c>
      <c r="E8" s="145"/>
      <c r="F8" s="80">
        <f>D56/(F7*12)</f>
        <v>1.1036413832328493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24" t="s">
        <v>46</v>
      </c>
      <c r="B9" s="18">
        <v>3000000</v>
      </c>
      <c r="H9" s="143" t="s">
        <v>52</v>
      </c>
      <c r="I9" s="143"/>
      <c r="J9" s="81">
        <f>SUM(J2:J8)</f>
        <v>1075000</v>
      </c>
    </row>
    <row r="10" spans="1:16">
      <c r="A10" s="124" t="s">
        <v>45</v>
      </c>
      <c r="B10" s="123">
        <f>D56/B9</f>
        <v>4.4735910095999989E-2</v>
      </c>
      <c r="H10" s="4"/>
      <c r="I10" s="4"/>
    </row>
    <row r="11" spans="1:16">
      <c r="A11" s="124" t="s">
        <v>3</v>
      </c>
      <c r="B11" s="79">
        <f>B9/D33</f>
        <v>10.548523206751055</v>
      </c>
      <c r="H11" s="4"/>
      <c r="I11" s="4"/>
    </row>
    <row r="12" spans="1:16">
      <c r="A12" s="124" t="s">
        <v>9</v>
      </c>
      <c r="B12" s="19">
        <f>B9/B6</f>
        <v>125.62814070351759</v>
      </c>
      <c r="H12" s="4"/>
      <c r="I12" s="4"/>
    </row>
    <row r="13" spans="1:16">
      <c r="A13" s="124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40" t="s">
        <v>37</v>
      </c>
      <c r="J18" s="140"/>
      <c r="K18" s="140"/>
      <c r="L18" s="140"/>
      <c r="M18" s="140"/>
      <c r="N18" s="140"/>
    </row>
    <row r="19" spans="1:19">
      <c r="A19" s="139" t="s">
        <v>38</v>
      </c>
      <c r="B19" s="139" t="s">
        <v>24</v>
      </c>
      <c r="C19" s="139" t="s">
        <v>43</v>
      </c>
      <c r="D19" s="139" t="s">
        <v>36</v>
      </c>
      <c r="E19" s="139" t="s">
        <v>39</v>
      </c>
      <c r="F19" s="139" t="s">
        <v>40</v>
      </c>
      <c r="G19" s="139" t="s">
        <v>32</v>
      </c>
      <c r="H19" s="139" t="s">
        <v>30</v>
      </c>
      <c r="I19" s="139" t="s">
        <v>31</v>
      </c>
      <c r="J19" s="139" t="s">
        <v>41</v>
      </c>
      <c r="K19" s="139" t="s">
        <v>34</v>
      </c>
      <c r="L19" s="139" t="s">
        <v>35</v>
      </c>
      <c r="M19" s="139" t="s">
        <v>67</v>
      </c>
      <c r="N19" s="139" t="s">
        <v>42</v>
      </c>
    </row>
    <row r="20" spans="1:19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pans="1:19" ht="17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 ht="17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38">
        <v>0.25169999999999998</v>
      </c>
      <c r="E38" s="48"/>
      <c r="F38" s="128">
        <f>D38*0.8</f>
        <v>0.20135999999999998</v>
      </c>
      <c r="G38" s="48"/>
      <c r="H38" s="128">
        <f>F38*0.8</f>
        <v>0.16108800000000001</v>
      </c>
      <c r="I38" s="48"/>
      <c r="J38" s="128">
        <f>H38*0.8</f>
        <v>0.12887040000000002</v>
      </c>
      <c r="K38" s="48"/>
      <c r="L38" s="128">
        <f>J38*0.8</f>
        <v>0.10309632000000002</v>
      </c>
      <c r="M38" s="48"/>
      <c r="N38" s="128">
        <f>L38*0.8</f>
        <v>8.2477056000000021E-2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78486.1008</v>
      </c>
      <c r="E39" s="49"/>
      <c r="F39" s="49">
        <f>F36*F38</f>
        <v>63416.769446399994</v>
      </c>
      <c r="G39" s="49"/>
      <c r="H39" s="49">
        <f t="shared" ref="H39:N39" si="1">H36*H38</f>
        <v>52255.418023833612</v>
      </c>
      <c r="I39" s="49"/>
      <c r="J39" s="49">
        <f t="shared" si="1"/>
        <v>43058.464451638894</v>
      </c>
      <c r="K39" s="49"/>
      <c r="L39" s="49">
        <f t="shared" si="1"/>
        <v>35480.174708150444</v>
      </c>
      <c r="M39" s="49"/>
      <c r="N39" s="49">
        <f t="shared" si="1"/>
        <v>29235.663959515976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233337.89919999999</v>
      </c>
      <c r="E40" s="2"/>
      <c r="F40" s="2">
        <f>F36-F39</f>
        <v>251525.4705536</v>
      </c>
      <c r="G40" s="2"/>
      <c r="H40" s="2">
        <f>H36-H39</f>
        <v>272135.08917616645</v>
      </c>
      <c r="I40" s="2"/>
      <c r="J40" s="2">
        <f>J36-J39</f>
        <v>291063.75796436111</v>
      </c>
      <c r="K40" s="2"/>
      <c r="L40" s="2">
        <f>L36-L39</f>
        <v>308665.71438032953</v>
      </c>
      <c r="M40" s="2"/>
      <c r="N40" s="2">
        <f>N36-N39</f>
        <v>325234.60180161847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3.6453572390781175E-2</v>
      </c>
      <c r="F44" s="51">
        <f>D44*1.05</f>
        <v>8931.3000000000011</v>
      </c>
      <c r="G44" s="50">
        <f t="shared" ref="G44:G53" si="3">F44/F$40</f>
        <v>3.5508531125466057E-2</v>
      </c>
      <c r="H44" s="51">
        <f>F44*1.05</f>
        <v>9377.8650000000016</v>
      </c>
      <c r="I44" s="50">
        <f t="shared" ref="I44:I53" si="4">H44/H$40</f>
        <v>3.4460330082348355E-2</v>
      </c>
      <c r="J44" s="51">
        <f>H44*1.05</f>
        <v>9846.7582500000026</v>
      </c>
      <c r="K44" s="50">
        <f t="shared" ref="K44:K53" si="5">J44/J$40</f>
        <v>3.3830245025578465E-2</v>
      </c>
      <c r="L44" s="51">
        <f>J44*1.05</f>
        <v>10339.096162500004</v>
      </c>
      <c r="M44" s="50">
        <f>L44/L$40</f>
        <v>3.3496095227992989E-2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2.399953037718958E-2</v>
      </c>
      <c r="F45" s="51">
        <f>D45*(1+F$43)</f>
        <v>5712</v>
      </c>
      <c r="G45" s="53">
        <f t="shared" si="3"/>
        <v>2.270942973460326E-2</v>
      </c>
      <c r="H45" s="51">
        <f t="shared" ref="H45:H53" si="6">F45*(1+H$43)</f>
        <v>5826.24</v>
      </c>
      <c r="I45" s="53">
        <f t="shared" si="4"/>
        <v>2.1409367008266941E-2</v>
      </c>
      <c r="J45" s="51">
        <f t="shared" ref="J45:J53" si="7">H45*(1+J$43)</f>
        <v>5942.7647999999999</v>
      </c>
      <c r="K45" s="53">
        <f t="shared" si="5"/>
        <v>2.0417398722405191E-2</v>
      </c>
      <c r="L45" s="51">
        <f t="shared" ref="L45:L53" si="8">J45*(1+L$43)</f>
        <v>6061.6200959999996</v>
      </c>
      <c r="M45" s="53">
        <f>L45/L$40</f>
        <v>1.9638138651612715E-2</v>
      </c>
      <c r="N45" s="51">
        <f t="shared" ref="F45:N53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0.10033946512877494</v>
      </c>
      <c r="F46" s="51">
        <f>D46*(1+F$43)</f>
        <v>23881.260000000002</v>
      </c>
      <c r="G46" s="53">
        <f t="shared" si="3"/>
        <v>9.4945692567190376E-2</v>
      </c>
      <c r="H46" s="51">
        <f t="shared" si="6"/>
        <v>24358.885200000004</v>
      </c>
      <c r="I46" s="53">
        <f t="shared" si="4"/>
        <v>8.9510269600813208E-2</v>
      </c>
      <c r="J46" s="51">
        <f t="shared" si="7"/>
        <v>24846.062904000006</v>
      </c>
      <c r="K46" s="53">
        <f t="shared" si="5"/>
        <v>8.5362956479941576E-2</v>
      </c>
      <c r="L46" s="51">
        <f t="shared" si="8"/>
        <v>25342.984162080007</v>
      </c>
      <c r="M46" s="53">
        <f t="shared" ref="M46:M47" si="10">L46/L$40</f>
        <v>8.2104953616108686E-2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3.4593608786548984E-2</v>
      </c>
      <c r="F47" s="51">
        <f>D47*(1+F$43)</f>
        <v>8233.44</v>
      </c>
      <c r="G47" s="53">
        <f t="shared" si="3"/>
        <v>3.2734020860306696E-2</v>
      </c>
      <c r="H47" s="51">
        <f t="shared" si="6"/>
        <v>8398.1088</v>
      </c>
      <c r="I47" s="53">
        <f t="shared" si="4"/>
        <v>3.0860073301916206E-2</v>
      </c>
      <c r="J47" s="51">
        <f t="shared" si="7"/>
        <v>8566.0709760000009</v>
      </c>
      <c r="K47" s="53">
        <f t="shared" si="5"/>
        <v>2.9430221872724056E-2</v>
      </c>
      <c r="L47" s="51">
        <f t="shared" si="8"/>
        <v>8737.3923955200007</v>
      </c>
      <c r="M47" s="53">
        <f t="shared" si="10"/>
        <v>2.8306974142110329E-2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1.6388250743280885E-2</v>
      </c>
      <c r="F48" s="51">
        <f t="shared" si="9"/>
        <v>3900.48</v>
      </c>
      <c r="G48" s="53">
        <f t="shared" si="3"/>
        <v>1.5507296304486225E-2</v>
      </c>
      <c r="H48" s="51">
        <f t="shared" si="6"/>
        <v>3978.4895999999999</v>
      </c>
      <c r="I48" s="53">
        <f t="shared" si="4"/>
        <v>1.4619539185645139E-2</v>
      </c>
      <c r="J48" s="51">
        <f t="shared" si="7"/>
        <v>4058.0593920000001</v>
      </c>
      <c r="K48" s="53">
        <f t="shared" si="5"/>
        <v>1.3942166556156687E-2</v>
      </c>
      <c r="L48" s="51">
        <f t="shared" si="8"/>
        <v>4139.22057984</v>
      </c>
      <c r="M48" s="53">
        <f>L48/L$40</f>
        <v>1.3410043250672682E-2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si="2"/>
        <v>3.9462084948778869E-2</v>
      </c>
      <c r="F49" s="51">
        <f>D49*(1+F$43)</f>
        <v>9392.16</v>
      </c>
      <c r="G49" s="53">
        <f t="shared" si="3"/>
        <v>3.7340790892183354E-2</v>
      </c>
      <c r="H49" s="51">
        <f t="shared" si="6"/>
        <v>9580.0031999999992</v>
      </c>
      <c r="I49" s="53">
        <f t="shared" si="4"/>
        <v>3.5203116323593207E-2</v>
      </c>
      <c r="J49" s="51">
        <f t="shared" si="7"/>
        <v>9771.6032639999994</v>
      </c>
      <c r="K49" s="53">
        <f t="shared" si="5"/>
        <v>3.3572037042126246E-2</v>
      </c>
      <c r="L49" s="51">
        <f t="shared" si="8"/>
        <v>9967.0353292799991</v>
      </c>
      <c r="M49" s="53">
        <f>L49/L$40</f>
        <v>3.2290710840008903E-2</v>
      </c>
      <c r="N49" s="51">
        <f t="shared" si="9"/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3.9599225122362809E-2</v>
      </c>
      <c r="F50" s="51">
        <f>D50*(1+F$43)</f>
        <v>9424.7999999999993</v>
      </c>
      <c r="G50" s="53">
        <f t="shared" si="3"/>
        <v>3.7470559062095371E-2</v>
      </c>
      <c r="H50" s="51">
        <f t="shared" si="6"/>
        <v>9613.2960000000003</v>
      </c>
      <c r="I50" s="53">
        <f t="shared" si="4"/>
        <v>3.5325455563640452E-2</v>
      </c>
      <c r="J50" s="51">
        <f t="shared" si="7"/>
        <v>9805.5619200000001</v>
      </c>
      <c r="K50" s="53">
        <f t="shared" si="5"/>
        <v>3.3688707891968567E-2</v>
      </c>
      <c r="L50" s="51">
        <f t="shared" si="8"/>
        <v>10001.673158400001</v>
      </c>
      <c r="M50" s="53">
        <f t="shared" ref="M50:M51" si="11">L50/L$40</f>
        <v>3.2402928775160982E-2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11666.89496</v>
      </c>
      <c r="E51" s="53">
        <f t="shared" si="2"/>
        <v>0.05</v>
      </c>
      <c r="F51" s="51">
        <f>D51*(1+F$43)</f>
        <v>11900.232859199999</v>
      </c>
      <c r="G51" s="53">
        <f t="shared" si="3"/>
        <v>4.7312237734842298E-2</v>
      </c>
      <c r="H51" s="51">
        <f t="shared" si="6"/>
        <v>12138.237516383999</v>
      </c>
      <c r="I51" s="53">
        <f t="shared" si="4"/>
        <v>4.4603720722417826E-2</v>
      </c>
      <c r="J51" s="51">
        <f t="shared" si="7"/>
        <v>12381.002266711679</v>
      </c>
      <c r="K51" s="53">
        <f t="shared" si="5"/>
        <v>4.2537079687632061E-2</v>
      </c>
      <c r="L51" s="51">
        <f t="shared" si="8"/>
        <v>12628.622312045913</v>
      </c>
      <c r="M51" s="53">
        <f t="shared" si="11"/>
        <v>4.0913589438978853E-2</v>
      </c>
      <c r="N51" s="51">
        <f>L51*(1+N$43)</f>
        <v>12881.194758286831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14000.273951999998</v>
      </c>
      <c r="E52" s="53">
        <f t="shared" si="2"/>
        <v>5.9999999999999991E-2</v>
      </c>
      <c r="F52" s="51">
        <f t="shared" si="9"/>
        <v>14280.279431039999</v>
      </c>
      <c r="G52" s="53">
        <f t="shared" si="3"/>
        <v>5.6774685281810754E-2</v>
      </c>
      <c r="H52" s="51">
        <f t="shared" si="6"/>
        <v>14565.885019660798</v>
      </c>
      <c r="I52" s="53">
        <f t="shared" si="4"/>
        <v>5.3524464866901392E-2</v>
      </c>
      <c r="J52" s="51">
        <f t="shared" si="7"/>
        <v>14857.202720054014</v>
      </c>
      <c r="K52" s="53">
        <f t="shared" si="5"/>
        <v>5.1044495625158469E-2</v>
      </c>
      <c r="L52" s="51">
        <f t="shared" si="8"/>
        <v>15154.346774455094</v>
      </c>
      <c r="M52" s="53">
        <f>L52/L$40</f>
        <v>4.909630732677462E-2</v>
      </c>
      <c r="N52" s="51">
        <f t="shared" si="9"/>
        <v>15457.433709944196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2.399953037718958E-2</v>
      </c>
      <c r="F53" s="74">
        <f t="shared" si="9"/>
        <v>5712</v>
      </c>
      <c r="G53" s="55">
        <f t="shared" si="3"/>
        <v>2.270942973460326E-2</v>
      </c>
      <c r="H53" s="74">
        <f t="shared" si="6"/>
        <v>5826.24</v>
      </c>
      <c r="I53" s="55">
        <f t="shared" si="4"/>
        <v>2.1409367008266941E-2</v>
      </c>
      <c r="J53" s="74">
        <f t="shared" si="7"/>
        <v>5942.7647999999999</v>
      </c>
      <c r="K53" s="55">
        <f t="shared" si="5"/>
        <v>2.0417398722405191E-2</v>
      </c>
      <c r="L53" s="74">
        <f t="shared" si="8"/>
        <v>6061.6200959999996</v>
      </c>
      <c r="M53" s="55">
        <f>L53/L$40</f>
        <v>1.9638138651612715E-2</v>
      </c>
      <c r="N53" s="51">
        <f t="shared" si="9"/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99130.168912000008</v>
      </c>
      <c r="E54" s="34">
        <f t="shared" ref="E54:N54" si="12">SUM(E44:E53)</f>
        <v>0.42483526787490677</v>
      </c>
      <c r="F54" s="2">
        <f t="shared" si="12"/>
        <v>101367.95229024001</v>
      </c>
      <c r="G54" s="34">
        <f t="shared" si="12"/>
        <v>0.40301267329758755</v>
      </c>
      <c r="H54" s="2">
        <f t="shared" si="12"/>
        <v>103663.25033604482</v>
      </c>
      <c r="I54" s="34">
        <f t="shared" si="12"/>
        <v>0.38092570366380962</v>
      </c>
      <c r="J54" s="2">
        <f t="shared" si="12"/>
        <v>106017.8512927657</v>
      </c>
      <c r="K54" s="34">
        <f t="shared" si="12"/>
        <v>0.36424270762609645</v>
      </c>
      <c r="L54" s="2">
        <f t="shared" si="12"/>
        <v>108433.61106612103</v>
      </c>
      <c r="M54" s="34">
        <f t="shared" si="12"/>
        <v>0.35129787992103351</v>
      </c>
      <c r="N54" s="2">
        <f t="shared" si="12"/>
        <v>110912.45617231843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134207.73028799996</v>
      </c>
      <c r="E56" s="34"/>
      <c r="F56" s="2">
        <f>F$40-F$54</f>
        <v>150157.51826335999</v>
      </c>
      <c r="G56" s="34"/>
      <c r="H56" s="2">
        <f>H$40-H$54</f>
        <v>168471.83884012164</v>
      </c>
      <c r="I56" s="34"/>
      <c r="J56" s="2">
        <f>J$40-J$54</f>
        <v>185045.90667159541</v>
      </c>
      <c r="K56" s="34"/>
      <c r="L56" s="2">
        <f>L$40-L$54</f>
        <v>200232.10331420851</v>
      </c>
      <c r="M56" s="34"/>
      <c r="N56" s="2">
        <f>N$40-N$54</f>
        <v>214322.14562930004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12603.255929788589</v>
      </c>
      <c r="E59" s="34"/>
      <c r="F59" s="2">
        <f>F$56-F$58</f>
        <v>28553.043905148617</v>
      </c>
      <c r="G59" s="34"/>
      <c r="H59" s="2">
        <f>H$56-H$58</f>
        <v>46867.364481910263</v>
      </c>
      <c r="I59" s="34"/>
      <c r="J59" s="2">
        <f>J$56-J$58</f>
        <v>63441.432313384037</v>
      </c>
      <c r="K59" s="34"/>
      <c r="L59" s="2">
        <f>L$56-L$58</f>
        <v>78627.628955997134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1.1036413832328493</v>
      </c>
      <c r="E62" s="84"/>
      <c r="F62" s="83">
        <f>F$56/($F$7*12)</f>
        <v>1.2348025765979602</v>
      </c>
      <c r="G62" s="83"/>
      <c r="H62" s="83">
        <f>H$56/($F$7*12)</f>
        <v>1.3854082239100236</v>
      </c>
      <c r="I62" s="83"/>
      <c r="J62" s="83">
        <f>J$56/($F$7*12)</f>
        <v>1.5217031087729884</v>
      </c>
      <c r="K62" s="83"/>
      <c r="L62" s="83">
        <f>L$56/($F$7*12)</f>
        <v>1.646584999203097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12603.255929788589</v>
      </c>
      <c r="E66" s="22"/>
      <c r="F66" s="73">
        <f>F59</f>
        <v>28553.043905148617</v>
      </c>
      <c r="G66" s="22"/>
      <c r="H66" s="73">
        <f>H59</f>
        <v>46867.364481910263</v>
      </c>
      <c r="I66" s="22"/>
      <c r="J66" s="73">
        <f>J59</f>
        <v>63441.432313384037</v>
      </c>
      <c r="K66" s="22"/>
      <c r="L66" s="73">
        <f>L59</f>
        <v>78627.628955997134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3727341.6631182614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-195685.43731370871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12603.255929788589</v>
      </c>
      <c r="E70" s="82"/>
      <c r="F70" s="82">
        <f t="shared" ref="F70:J70" si="13">SUM(F$65:F$69)</f>
        <v>28553.043905148617</v>
      </c>
      <c r="G70" s="82"/>
      <c r="H70" s="82">
        <f t="shared" si="13"/>
        <v>46867.364481910263</v>
      </c>
      <c r="I70" s="82"/>
      <c r="J70" s="82">
        <f t="shared" si="13"/>
        <v>63441.432313384037</v>
      </c>
      <c r="K70" s="82"/>
      <c r="L70" s="82">
        <f>SUM(L$65:L$69)</f>
        <v>1787125.5114997048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1.1723959004454502E-2</v>
      </c>
      <c r="E71" s="1"/>
      <c r="F71" s="92">
        <f>-F$66/$C$70</f>
        <v>2.6560971074556853E-2</v>
      </c>
      <c r="G71" s="1"/>
      <c r="H71" s="92">
        <f>-H$66/$C$70</f>
        <v>4.3597548355265359E-2</v>
      </c>
      <c r="I71" s="1"/>
      <c r="J71" s="92">
        <f>-J$66/$C$70</f>
        <v>5.9015285872915386E-2</v>
      </c>
      <c r="K71" s="1"/>
      <c r="L71" s="92">
        <f>-L$66/$C$70</f>
        <v>7.3141980424183378E-2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92">
        <f>IRR(C70:L70)</f>
        <v>0.12997501496634234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M19:M20"/>
    <mergeCell ref="D8:E8"/>
    <mergeCell ref="H9:I9"/>
    <mergeCell ref="I18:N18"/>
    <mergeCell ref="A19:A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J19:J20"/>
    <mergeCell ref="K19:K20"/>
    <mergeCell ref="L19:L20"/>
    <mergeCell ref="D5:E5"/>
    <mergeCell ref="H5:I5"/>
    <mergeCell ref="D6:E6"/>
    <mergeCell ref="H6:I6"/>
    <mergeCell ref="D7:E7"/>
    <mergeCell ref="H7:I7"/>
    <mergeCell ref="D4:E4"/>
    <mergeCell ref="A1:B1"/>
    <mergeCell ref="D1:F1"/>
    <mergeCell ref="H1:J1"/>
    <mergeCell ref="L1:M1"/>
    <mergeCell ref="H2:I2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Rent Roll</vt:lpstr>
      <vt:lpstr>Financial Summary</vt:lpstr>
      <vt:lpstr>Week 2 第二题</vt:lpstr>
      <vt:lpstr>Week 2 第三题</vt:lpstr>
      <vt:lpstr>Week 2 第四题</vt:lpstr>
      <vt:lpstr>Week 2 第五题 1</vt:lpstr>
      <vt:lpstr>Week 2 第五题 2</vt:lpstr>
      <vt:lpstr>Week 2 第五题 3</vt:lpstr>
      <vt:lpstr>Week 2 第六题</vt:lpstr>
      <vt:lpstr>Week 3 1-1</vt:lpstr>
      <vt:lpstr>Week 3 1-2</vt:lpstr>
      <vt:lpstr>Week 3 1-3</vt:lpstr>
      <vt:lpstr>Week 3 2</vt:lpstr>
      <vt:lpstr>Week 3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Microsoft Office User</cp:lastModifiedBy>
  <dcterms:created xsi:type="dcterms:W3CDTF">2019-06-10T18:32:57Z</dcterms:created>
  <dcterms:modified xsi:type="dcterms:W3CDTF">2020-07-16T01:23:01Z</dcterms:modified>
</cp:coreProperties>
</file>