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y25\Desktop\personal\Course\Notes\"/>
    </mc:Choice>
  </mc:AlternateContent>
  <bookViews>
    <workbookView xWindow="-110" yWindow="-110" windowWidth="19420" windowHeight="10420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2" l="1"/>
  <c r="C31" i="2" l="1"/>
  <c r="C28" i="2"/>
  <c r="B52" i="2"/>
  <c r="B49" i="2"/>
  <c r="B47" i="2"/>
  <c r="B46" i="2"/>
  <c r="B53" i="2" s="1"/>
  <c r="B54" i="2" s="1"/>
  <c r="B39" i="2"/>
  <c r="E32" i="2"/>
  <c r="C29" i="2"/>
  <c r="C27" i="2"/>
  <c r="C16" i="2"/>
  <c r="B12" i="2"/>
  <c r="B11" i="2"/>
  <c r="F7" i="2"/>
  <c r="C7" i="2"/>
  <c r="C15" i="2" s="1"/>
  <c r="E15" i="2" l="1"/>
  <c r="D15" i="2"/>
  <c r="F7" i="1"/>
  <c r="B12" i="1" s="1"/>
  <c r="B11" i="1"/>
  <c r="E32" i="1"/>
  <c r="B52" i="1"/>
  <c r="B50" i="1"/>
  <c r="B49" i="1"/>
  <c r="B47" i="1"/>
  <c r="B46" i="1"/>
  <c r="B53" i="1" s="1"/>
  <c r="B54" i="1" s="1"/>
  <c r="B39" i="1"/>
  <c r="C29" i="1"/>
  <c r="C27" i="1"/>
  <c r="C28" i="1" s="1"/>
  <c r="C31" i="1" s="1"/>
  <c r="C32" i="1" s="1"/>
  <c r="C16" i="1"/>
  <c r="C32" i="2" l="1"/>
  <c r="C33" i="2" s="1"/>
  <c r="C7" i="1"/>
  <c r="C15" i="1" s="1"/>
  <c r="E15" i="1" s="1"/>
  <c r="B36" i="1"/>
  <c r="B40" i="1" s="1"/>
  <c r="B41" i="1" s="1"/>
  <c r="D15" i="1"/>
  <c r="B44" i="1"/>
  <c r="C33" i="1"/>
  <c r="B36" i="2" l="1"/>
  <c r="B40" i="2" l="1"/>
  <c r="B41" i="2" s="1"/>
  <c r="B44" i="2"/>
</calcChain>
</file>

<file path=xl/comments1.xml><?xml version="1.0" encoding="utf-8"?>
<comments xmlns="http://schemas.openxmlformats.org/spreadsheetml/2006/main">
  <authors>
    <author>lettu</author>
  </authors>
  <commentList>
    <comment ref="E31" authorId="0" shapeId="0">
      <text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<sst xmlns="http://schemas.openxmlformats.org/spreadsheetml/2006/main" count="160" uniqueCount="81">
  <si>
    <t>Debt</t>
  </si>
  <si>
    <t>Monthly Payment</t>
  </si>
  <si>
    <t>First loan</t>
  </si>
  <si>
    <t>Second Loan</t>
  </si>
  <si>
    <t>Balance</t>
  </si>
  <si>
    <t>total</t>
  </si>
  <si>
    <t>total payoff</t>
  </si>
  <si>
    <t>Payoff for 2nd</t>
  </si>
  <si>
    <t>Refinance</t>
  </si>
  <si>
    <t>80%LTV</t>
  </si>
  <si>
    <t>Second loan</t>
  </si>
  <si>
    <t>Pay Off</t>
  </si>
  <si>
    <t>Purchase</t>
  </si>
  <si>
    <t>Conclusion:</t>
  </si>
  <si>
    <t>Pay off</t>
  </si>
  <si>
    <t>1st loan</t>
  </si>
  <si>
    <t>2nd loan</t>
  </si>
  <si>
    <t>2nd loan return</t>
  </si>
  <si>
    <t>Fee</t>
  </si>
  <si>
    <t>Addition for 1st loan</t>
  </si>
  <si>
    <t>Foreclosure Fee</t>
  </si>
  <si>
    <t>Foreclosure Price</t>
  </si>
  <si>
    <t>Cost</t>
  </si>
  <si>
    <t>Rehb</t>
  </si>
  <si>
    <t>Sale</t>
  </si>
  <si>
    <t>Return</t>
  </si>
  <si>
    <t>Profit</t>
  </si>
  <si>
    <t>Rehab</t>
  </si>
  <si>
    <t>Refi, loan payment</t>
  </si>
  <si>
    <t>Refi loan amount</t>
  </si>
  <si>
    <t>Rent</t>
  </si>
  <si>
    <t>Insurance</t>
  </si>
  <si>
    <t>Property Tax</t>
  </si>
  <si>
    <t>HOA</t>
  </si>
  <si>
    <t>Total Payment</t>
  </si>
  <si>
    <t>PM</t>
  </si>
  <si>
    <t>Cash Flow</t>
  </si>
  <si>
    <t>Comments</t>
  </si>
  <si>
    <t>UPB: 262,887</t>
  </si>
  <si>
    <t>HOA lien</t>
  </si>
  <si>
    <t>IRS lien</t>
  </si>
  <si>
    <t>Credit Card judgement</t>
  </si>
  <si>
    <t>Old 2nd loan payoff is  $172,798 and New 2nd loan payoff is $30,000</t>
  </si>
  <si>
    <t>Purchase Price</t>
  </si>
  <si>
    <t>1st: Loan Mod and refinance: Propose a loan modification and assist the borrower to refinance and payoff all liens</t>
  </si>
  <si>
    <t>2nd: Loan Mod: Propose a new reduced payoff amount for 2nd loan and ask the borrower to pay off</t>
  </si>
  <si>
    <t>CLTV</t>
  </si>
  <si>
    <t>ACLTV</t>
  </si>
  <si>
    <t>Hard to accomplish (difficult to refinance due to many default accounts, low credit score and high LTV)</t>
  </si>
  <si>
    <t>Borrower may not want to pay off at the reduced loan amount and not enough profit at purchase price of $25919</t>
  </si>
  <si>
    <t>3rd: Initiate Foreclosure</t>
  </si>
  <si>
    <t>1st loan lender will receive UBP plus 10 months interest (70%of payment)</t>
  </si>
  <si>
    <t>2nd loan lender will receive remaining balance (not enough for full UPB).  The other liens will be wiped out.</t>
  </si>
  <si>
    <t>If no one bids, the initiator (2nd loan, us) will receive the house</t>
  </si>
  <si>
    <t>We need to pay off first lien (UPB plus 10 months interest), HOA lien and foreclosure fee.</t>
  </si>
  <si>
    <t>Assume 10% ARV for sale cost (commission fee, transaction cost, tax, etc)</t>
  </si>
  <si>
    <t>Will sell at After Repair Value (ARV) after rehab</t>
  </si>
  <si>
    <t>Net profit after sale</t>
  </si>
  <si>
    <t>Net Proft/ Pre-sale cost (B34 + B35).  Sale Fee is only paid at the closing so it's not included in the calculation</t>
  </si>
  <si>
    <t>4th: Get the house, rehab and sell</t>
  </si>
  <si>
    <t>5th: get the house, rehab and rent</t>
  </si>
  <si>
    <t>Refinance to cash out</t>
  </si>
  <si>
    <t>Refi up to 80%*ARV</t>
  </si>
  <si>
    <t>annual insurance ~600</t>
  </si>
  <si>
    <t>Monthly ~300</t>
  </si>
  <si>
    <t>~8%*monthly rent</t>
  </si>
  <si>
    <t>Summary: 5 possible strategies.  After discussion, we recommend purchasing at 15% ($25,920) and initiating Foreclosure (#3 below) and continue with #4 or #5 if we receive the property after foreclosure</t>
  </si>
  <si>
    <t>Total Debt to refinance (including the new 2nd loan balance), New Monthly payment is 2216</t>
  </si>
  <si>
    <t>max LTV is 80% of market value 470k-490k.  The new loan balance exceeds max loan amount</t>
  </si>
  <si>
    <t>Purchase at 15%of Payoff amount, Loan Mod to new balance =2*purchase price</t>
  </si>
  <si>
    <t>Assume winning bid price will be around 85%* After Repair Value (ARV)</t>
  </si>
  <si>
    <t>Fee estimated at 5% of Sale Price</t>
  </si>
  <si>
    <t>Assume during Foreclosure process ~10 months, first loan will skip payment ~$1320/month</t>
  </si>
  <si>
    <t>Return = Profit (110433 - 25920) /notes purchase price</t>
  </si>
  <si>
    <t>annual property tax ~1% purchase price = 4080</t>
  </si>
  <si>
    <t xml:space="preserve">Fee estimated at 26% of loan amount </t>
  </si>
  <si>
    <t>10 month Int</t>
  </si>
  <si>
    <t xml:space="preserve">1st loan lender will receive UBP plus 10 months interest </t>
  </si>
  <si>
    <t>Return = Profit (93786 - 25920) /notes purchase price</t>
  </si>
  <si>
    <t>http://www.mortgagenewsdaily.com/622008_Foreclosure_Costs.asp</t>
  </si>
  <si>
    <t>annual property tax ~1% purchase price = 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</si>
</sst>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44" fontId="0" fillId="0" borderId="0" xfId="1" applyFont="1"/>
    <xf numFmtId="8" fontId="0" fillId="0" borderId="0" xfId="1" applyNumberFormat="1" applyFont="1"/>
    <xf numFmtId="9" fontId="0" fillId="0" borderId="0" xfId="2" applyFont="1"/>
    <xf numFmtId="44" fontId="0" fillId="0" borderId="0" xfId="0" applyNumberFormat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44" fontId="0" fillId="2" borderId="0" xfId="1" applyFont="1" applyFill="1"/>
    <xf numFmtId="9" fontId="0" fillId="2" borderId="0" xfId="2" applyFont="1" applyFill="1"/>
    <xf numFmtId="0" fontId="3" fillId="2" borderId="0" xfId="3" applyFill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rtgagenewsdaily.com/622008_Foreclosure_Costs.asp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tabSelected="1" topLeftCell="A33" workbookViewId="0">
      <selection activeCell="B51" sqref="B51"/>
    </sheetView>
  </sheetViews>
  <sheetFormatPr defaultRowHeight="14.5" x14ac:dyDescent="0.35"/>
  <cols>
    <col min="1" max="1" width="17.453125" customWidth="1"/>
    <col min="2" max="2" width="12.08984375" bestFit="1" customWidth="1"/>
    <col min="3" max="3" width="12.08984375" style="2" bestFit="1" customWidth="1"/>
    <col min="4" max="4" width="15.7265625" style="2" bestFit="1" customWidth="1"/>
    <col min="5" max="5" width="12.08984375" style="2" bestFit="1" customWidth="1"/>
    <col min="6" max="6" width="14.36328125" customWidth="1"/>
    <col min="7" max="7" width="42.81640625" customWidth="1"/>
  </cols>
  <sheetData>
    <row r="1" spans="1:8" x14ac:dyDescent="0.35">
      <c r="A1" t="s">
        <v>66</v>
      </c>
    </row>
    <row r="3" spans="1:8" x14ac:dyDescent="0.35">
      <c r="A3" s="6" t="s">
        <v>44</v>
      </c>
    </row>
    <row r="4" spans="1:8" x14ac:dyDescent="0.35">
      <c r="A4" t="s">
        <v>8</v>
      </c>
    </row>
    <row r="5" spans="1:8" x14ac:dyDescent="0.35">
      <c r="B5" t="s">
        <v>0</v>
      </c>
      <c r="C5" s="2" t="s">
        <v>4</v>
      </c>
      <c r="D5" s="2" t="s">
        <v>1</v>
      </c>
      <c r="E5" s="2" t="s">
        <v>6</v>
      </c>
      <c r="F5" s="2" t="s">
        <v>43</v>
      </c>
      <c r="G5" s="2" t="s">
        <v>37</v>
      </c>
    </row>
    <row r="6" spans="1:8" x14ac:dyDescent="0.35">
      <c r="A6" t="s">
        <v>2</v>
      </c>
      <c r="C6" s="7">
        <v>262887</v>
      </c>
      <c r="D6" s="7">
        <v>1326</v>
      </c>
      <c r="E6" s="7"/>
      <c r="F6" s="8"/>
      <c r="G6" t="s">
        <v>38</v>
      </c>
    </row>
    <row r="7" spans="1:8" x14ac:dyDescent="0.35">
      <c r="A7" t="s">
        <v>3</v>
      </c>
      <c r="B7" s="7">
        <v>138900</v>
      </c>
      <c r="C7" s="7">
        <f>F7*2</f>
        <v>51839.4</v>
      </c>
      <c r="D7" s="7"/>
      <c r="E7" s="7">
        <v>172798</v>
      </c>
      <c r="F7" s="8">
        <f>0.15*E7</f>
        <v>25919.7</v>
      </c>
      <c r="G7" t="s">
        <v>69</v>
      </c>
    </row>
    <row r="8" spans="1:8" x14ac:dyDescent="0.35">
      <c r="A8" t="s">
        <v>39</v>
      </c>
      <c r="C8" s="7">
        <v>15000</v>
      </c>
      <c r="D8" s="7"/>
      <c r="E8" s="7"/>
      <c r="F8" s="8"/>
      <c r="H8" s="1"/>
    </row>
    <row r="9" spans="1:8" x14ac:dyDescent="0.35">
      <c r="A9" t="s">
        <v>40</v>
      </c>
      <c r="C9" s="7">
        <v>57100</v>
      </c>
      <c r="D9" s="7"/>
      <c r="E9" s="7"/>
      <c r="F9" s="8"/>
    </row>
    <row r="10" spans="1:8" x14ac:dyDescent="0.35">
      <c r="A10" t="s">
        <v>41</v>
      </c>
      <c r="C10" s="7">
        <v>26092</v>
      </c>
      <c r="D10" s="7"/>
      <c r="E10" s="7"/>
      <c r="F10" s="8"/>
    </row>
    <row r="11" spans="1:8" x14ac:dyDescent="0.35">
      <c r="A11" t="s">
        <v>46</v>
      </c>
      <c r="B11" s="4">
        <f>SUM(C6,E7)/480000</f>
        <v>0.9076770833333333</v>
      </c>
    </row>
    <row r="12" spans="1:8" x14ac:dyDescent="0.35">
      <c r="A12" t="s">
        <v>47</v>
      </c>
      <c r="B12" s="4">
        <f>SUM(C6,F7)/480000</f>
        <v>0.60168062499999997</v>
      </c>
    </row>
    <row r="13" spans="1:8" x14ac:dyDescent="0.35">
      <c r="B13" s="4"/>
    </row>
    <row r="14" spans="1:8" x14ac:dyDescent="0.35">
      <c r="B14" s="4"/>
      <c r="E14" s="2" t="s">
        <v>7</v>
      </c>
    </row>
    <row r="15" spans="1:8" x14ac:dyDescent="0.35">
      <c r="A15" t="s">
        <v>5</v>
      </c>
      <c r="C15" s="7">
        <f>SUM(C6:C10)</f>
        <v>412918.4</v>
      </c>
      <c r="D15" s="3">
        <f>PMT(5%/12,360,C15)</f>
        <v>-2216.6352565957568</v>
      </c>
      <c r="E15" s="7">
        <f>C15-C6-SUM(C8:C10)</f>
        <v>51839.400000000023</v>
      </c>
      <c r="G15" t="s">
        <v>67</v>
      </c>
    </row>
    <row r="16" spans="1:8" x14ac:dyDescent="0.35">
      <c r="A16" t="s">
        <v>9</v>
      </c>
      <c r="C16" s="7">
        <f>0.8*480000</f>
        <v>384000</v>
      </c>
      <c r="D16" s="3"/>
      <c r="G16" t="s">
        <v>68</v>
      </c>
    </row>
    <row r="17" spans="1:8" x14ac:dyDescent="0.35">
      <c r="A17" t="s">
        <v>13</v>
      </c>
      <c r="B17" t="s">
        <v>48</v>
      </c>
      <c r="C17" s="7"/>
    </row>
    <row r="18" spans="1:8" x14ac:dyDescent="0.35">
      <c r="C18" s="7"/>
    </row>
    <row r="19" spans="1:8" x14ac:dyDescent="0.35">
      <c r="A19" s="6" t="s">
        <v>45</v>
      </c>
      <c r="B19" s="6"/>
      <c r="C19" s="7"/>
    </row>
    <row r="20" spans="1:8" x14ac:dyDescent="0.35">
      <c r="C20" s="7" t="s">
        <v>11</v>
      </c>
      <c r="D20" s="2" t="s">
        <v>12</v>
      </c>
    </row>
    <row r="21" spans="1:8" x14ac:dyDescent="0.35">
      <c r="A21" t="s">
        <v>10</v>
      </c>
      <c r="B21" s="7">
        <v>172798</v>
      </c>
      <c r="C21" s="7">
        <v>30000</v>
      </c>
      <c r="G21" t="s">
        <v>42</v>
      </c>
    </row>
    <row r="22" spans="1:8" x14ac:dyDescent="0.35">
      <c r="A22" t="s">
        <v>13</v>
      </c>
      <c r="B22" t="s">
        <v>49</v>
      </c>
      <c r="C22" s="7"/>
    </row>
    <row r="23" spans="1:8" x14ac:dyDescent="0.35">
      <c r="C23" s="7"/>
    </row>
    <row r="24" spans="1:8" x14ac:dyDescent="0.35">
      <c r="C24" s="7"/>
    </row>
    <row r="25" spans="1:8" x14ac:dyDescent="0.35">
      <c r="C25" s="7"/>
    </row>
    <row r="26" spans="1:8" x14ac:dyDescent="0.35">
      <c r="A26" s="6" t="s">
        <v>50</v>
      </c>
      <c r="C26" s="7"/>
      <c r="G26" t="s">
        <v>37</v>
      </c>
    </row>
    <row r="27" spans="1:8" x14ac:dyDescent="0.35">
      <c r="A27" t="s">
        <v>21</v>
      </c>
      <c r="C27" s="7">
        <f>0.85*480000</f>
        <v>408000</v>
      </c>
      <c r="G27" t="s">
        <v>70</v>
      </c>
    </row>
    <row r="28" spans="1:8" s="9" customFormat="1" x14ac:dyDescent="0.35">
      <c r="A28" s="9" t="s">
        <v>20</v>
      </c>
      <c r="C28" s="10">
        <f>B21*0.26</f>
        <v>44927.48</v>
      </c>
      <c r="D28" s="11"/>
      <c r="E28" s="11"/>
      <c r="G28" s="9" t="s">
        <v>75</v>
      </c>
      <c r="H28" s="13" t="s">
        <v>79</v>
      </c>
    </row>
    <row r="29" spans="1:8" x14ac:dyDescent="0.35">
      <c r="A29" t="s">
        <v>19</v>
      </c>
      <c r="C29" s="7">
        <f>1326*10</f>
        <v>13260</v>
      </c>
      <c r="G29" t="s">
        <v>72</v>
      </c>
    </row>
    <row r="30" spans="1:8" x14ac:dyDescent="0.35">
      <c r="A30" t="s">
        <v>14</v>
      </c>
      <c r="C30" s="7"/>
      <c r="E30" s="2" t="s">
        <v>76</v>
      </c>
    </row>
    <row r="31" spans="1:8" s="9" customFormat="1" x14ac:dyDescent="0.35">
      <c r="A31" s="9" t="s">
        <v>15</v>
      </c>
      <c r="C31" s="10">
        <f>E31+C6</f>
        <v>269227</v>
      </c>
      <c r="D31" s="11"/>
      <c r="E31" s="11">
        <v>6340</v>
      </c>
      <c r="G31" s="9" t="s">
        <v>77</v>
      </c>
    </row>
    <row r="32" spans="1:8" x14ac:dyDescent="0.35">
      <c r="A32" t="s">
        <v>16</v>
      </c>
      <c r="C32" s="7">
        <f>C27-C31-C28</f>
        <v>93845.51999999999</v>
      </c>
      <c r="D32" s="2" t="s">
        <v>12</v>
      </c>
      <c r="E32" s="7">
        <f>0.15*E7</f>
        <v>25919.7</v>
      </c>
      <c r="G32" t="s">
        <v>52</v>
      </c>
    </row>
    <row r="33" spans="1:7" s="9" customFormat="1" x14ac:dyDescent="0.35">
      <c r="A33" s="9" t="s">
        <v>17</v>
      </c>
      <c r="C33" s="12">
        <f>(C32-E32)/E32</f>
        <v>2.6206252387180404</v>
      </c>
      <c r="D33" s="11"/>
      <c r="E33" s="11"/>
      <c r="G33" s="9" t="s">
        <v>78</v>
      </c>
    </row>
    <row r="35" spans="1:7" x14ac:dyDescent="0.35">
      <c r="A35" s="6" t="s">
        <v>59</v>
      </c>
      <c r="G35" t="s">
        <v>53</v>
      </c>
    </row>
    <row r="36" spans="1:7" x14ac:dyDescent="0.35">
      <c r="A36" t="s">
        <v>22</v>
      </c>
      <c r="B36" s="5">
        <f>E32+C28+C31+15000</f>
        <v>355074.18</v>
      </c>
      <c r="G36" t="s">
        <v>54</v>
      </c>
    </row>
    <row r="37" spans="1:7" x14ac:dyDescent="0.35">
      <c r="A37" t="s">
        <v>23</v>
      </c>
      <c r="B37" s="2">
        <v>40000</v>
      </c>
    </row>
    <row r="38" spans="1:7" x14ac:dyDescent="0.35">
      <c r="A38" t="s">
        <v>24</v>
      </c>
      <c r="B38" s="2">
        <v>480000</v>
      </c>
      <c r="G38" t="s">
        <v>56</v>
      </c>
    </row>
    <row r="39" spans="1:7" x14ac:dyDescent="0.35">
      <c r="A39" t="s">
        <v>18</v>
      </c>
      <c r="B39" s="2">
        <f>B38*0.1</f>
        <v>48000</v>
      </c>
      <c r="G39" t="s">
        <v>55</v>
      </c>
    </row>
    <row r="40" spans="1:7" x14ac:dyDescent="0.35">
      <c r="A40" t="s">
        <v>26</v>
      </c>
      <c r="B40" s="5">
        <f>B38-B36-B37-B39</f>
        <v>36925.820000000007</v>
      </c>
      <c r="G40" t="s">
        <v>57</v>
      </c>
    </row>
    <row r="41" spans="1:7" x14ac:dyDescent="0.35">
      <c r="A41" t="s">
        <v>25</v>
      </c>
      <c r="B41" s="4">
        <f>B40/(B36+B37)</f>
        <v>9.3465536016552664E-2</v>
      </c>
      <c r="G41" t="s">
        <v>58</v>
      </c>
    </row>
    <row r="43" spans="1:7" x14ac:dyDescent="0.35">
      <c r="A43" s="6" t="s">
        <v>60</v>
      </c>
    </row>
    <row r="44" spans="1:7" x14ac:dyDescent="0.35">
      <c r="A44" t="s">
        <v>22</v>
      </c>
      <c r="B44" s="2">
        <f>B36</f>
        <v>355074.18</v>
      </c>
    </row>
    <row r="45" spans="1:7" x14ac:dyDescent="0.35">
      <c r="A45" t="s">
        <v>27</v>
      </c>
      <c r="B45" s="2">
        <v>40000</v>
      </c>
    </row>
    <row r="46" spans="1:7" x14ac:dyDescent="0.35">
      <c r="A46" t="s">
        <v>28</v>
      </c>
      <c r="B46" s="2">
        <f>PMT(3.5%/12,360,480000*0.8)</f>
        <v>-1724.331601185886</v>
      </c>
      <c r="G46" t="s">
        <v>61</v>
      </c>
    </row>
    <row r="47" spans="1:7" x14ac:dyDescent="0.35">
      <c r="A47" t="s">
        <v>29</v>
      </c>
      <c r="B47" s="2">
        <f>480000*0.8</f>
        <v>384000</v>
      </c>
      <c r="G47" t="s">
        <v>62</v>
      </c>
    </row>
    <row r="48" spans="1:7" x14ac:dyDescent="0.35">
      <c r="A48" t="s">
        <v>30</v>
      </c>
      <c r="B48" s="2">
        <v>3200</v>
      </c>
    </row>
    <row r="49" spans="1:7" x14ac:dyDescent="0.35">
      <c r="A49" t="s">
        <v>31</v>
      </c>
      <c r="B49" s="2">
        <f>600/12</f>
        <v>50</v>
      </c>
      <c r="G49" t="s">
        <v>63</v>
      </c>
    </row>
    <row r="50" spans="1:7" x14ac:dyDescent="0.35">
      <c r="A50" t="s">
        <v>32</v>
      </c>
      <c r="B50" s="2">
        <f>1%*172798/12</f>
        <v>143.99833333333333</v>
      </c>
      <c r="G50" t="s">
        <v>80</v>
      </c>
    </row>
    <row r="51" spans="1:7" x14ac:dyDescent="0.35">
      <c r="A51" t="s">
        <v>33</v>
      </c>
      <c r="B51" s="2">
        <v>300</v>
      </c>
      <c r="G51" t="s">
        <v>64</v>
      </c>
    </row>
    <row r="52" spans="1:7" x14ac:dyDescent="0.35">
      <c r="A52" t="s">
        <v>35</v>
      </c>
      <c r="B52" s="2">
        <f>8%*B48</f>
        <v>256</v>
      </c>
      <c r="G52" t="s">
        <v>65</v>
      </c>
    </row>
    <row r="53" spans="1:7" x14ac:dyDescent="0.35">
      <c r="A53" t="s">
        <v>34</v>
      </c>
      <c r="B53" s="1">
        <f>SUM(B49:B52,-B46)</f>
        <v>2474.3299345192195</v>
      </c>
    </row>
    <row r="54" spans="1:7" x14ac:dyDescent="0.35">
      <c r="A54" t="s">
        <v>36</v>
      </c>
      <c r="B54" s="1">
        <f>B48-B53</f>
        <v>725.67006548078052</v>
      </c>
    </row>
  </sheetData>
  <hyperlinks>
    <hyperlink ref="H28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C31" sqref="C31"/>
    </sheetView>
  </sheetViews>
  <sheetFormatPr defaultRowHeight="14.5" x14ac:dyDescent="0.35"/>
  <cols>
    <col min="1" max="1" width="17.453125" customWidth="1"/>
    <col min="2" max="2" width="12.08984375" bestFit="1" customWidth="1"/>
    <col min="3" max="3" width="12.08984375" style="2" bestFit="1" customWidth="1"/>
    <col min="4" max="4" width="15.7265625" style="2" bestFit="1" customWidth="1"/>
    <col min="5" max="5" width="12.08984375" style="2" bestFit="1" customWidth="1"/>
    <col min="6" max="6" width="14.36328125" customWidth="1"/>
    <col min="7" max="7" width="42.81640625" customWidth="1"/>
  </cols>
  <sheetData>
    <row r="1" spans="1:8" x14ac:dyDescent="0.35">
      <c r="A1" t="s">
        <v>66</v>
      </c>
    </row>
    <row r="3" spans="1:8" x14ac:dyDescent="0.35">
      <c r="A3" s="6" t="s">
        <v>44</v>
      </c>
    </row>
    <row r="4" spans="1:8" x14ac:dyDescent="0.35">
      <c r="A4" t="s">
        <v>8</v>
      </c>
    </row>
    <row r="5" spans="1:8" x14ac:dyDescent="0.35">
      <c r="B5" t="s">
        <v>0</v>
      </c>
      <c r="C5" s="2" t="s">
        <v>4</v>
      </c>
      <c r="D5" s="2" t="s">
        <v>1</v>
      </c>
      <c r="E5" s="2" t="s">
        <v>6</v>
      </c>
      <c r="F5" s="2" t="s">
        <v>43</v>
      </c>
      <c r="G5" s="2" t="s">
        <v>37</v>
      </c>
    </row>
    <row r="6" spans="1:8" x14ac:dyDescent="0.35">
      <c r="A6" t="s">
        <v>2</v>
      </c>
      <c r="C6" s="7">
        <v>262887</v>
      </c>
      <c r="D6" s="7">
        <v>1326</v>
      </c>
      <c r="E6" s="7"/>
      <c r="F6" s="8"/>
      <c r="G6" t="s">
        <v>38</v>
      </c>
    </row>
    <row r="7" spans="1:8" x14ac:dyDescent="0.35">
      <c r="A7" t="s">
        <v>3</v>
      </c>
      <c r="B7" s="7">
        <v>138900</v>
      </c>
      <c r="C7" s="7">
        <f>F7*2</f>
        <v>51839.4</v>
      </c>
      <c r="D7" s="7"/>
      <c r="E7" s="7">
        <v>172798</v>
      </c>
      <c r="F7" s="8">
        <f>0.15*E7</f>
        <v>25919.7</v>
      </c>
      <c r="G7" t="s">
        <v>69</v>
      </c>
    </row>
    <row r="8" spans="1:8" x14ac:dyDescent="0.35">
      <c r="A8" t="s">
        <v>39</v>
      </c>
      <c r="C8" s="7">
        <v>15000</v>
      </c>
      <c r="D8" s="7"/>
      <c r="E8" s="7"/>
      <c r="F8" s="8"/>
      <c r="H8" s="1"/>
    </row>
    <row r="9" spans="1:8" x14ac:dyDescent="0.35">
      <c r="A9" t="s">
        <v>40</v>
      </c>
      <c r="C9" s="7">
        <v>57100</v>
      </c>
      <c r="D9" s="7"/>
      <c r="E9" s="7"/>
      <c r="F9" s="8"/>
    </row>
    <row r="10" spans="1:8" x14ac:dyDescent="0.35">
      <c r="A10" t="s">
        <v>41</v>
      </c>
      <c r="C10" s="7">
        <v>26092</v>
      </c>
      <c r="D10" s="7"/>
      <c r="E10" s="7"/>
      <c r="F10" s="8"/>
    </row>
    <row r="11" spans="1:8" x14ac:dyDescent="0.35">
      <c r="A11" t="s">
        <v>46</v>
      </c>
      <c r="B11" s="4">
        <f>SUM(C6,E7)/480000</f>
        <v>0.9076770833333333</v>
      </c>
    </row>
    <row r="12" spans="1:8" x14ac:dyDescent="0.35">
      <c r="A12" t="s">
        <v>47</v>
      </c>
      <c r="B12" s="4">
        <f>SUM(C6,F7)/480000</f>
        <v>0.60168062499999997</v>
      </c>
    </row>
    <row r="13" spans="1:8" x14ac:dyDescent="0.35">
      <c r="B13" s="4"/>
    </row>
    <row r="14" spans="1:8" x14ac:dyDescent="0.35">
      <c r="B14" s="4"/>
      <c r="E14" s="2" t="s">
        <v>7</v>
      </c>
    </row>
    <row r="15" spans="1:8" x14ac:dyDescent="0.35">
      <c r="A15" t="s">
        <v>5</v>
      </c>
      <c r="C15" s="7">
        <f>SUM(C6:C10)</f>
        <v>412918.4</v>
      </c>
      <c r="D15" s="3">
        <f>PMT(5%/12,360,C15)</f>
        <v>-2216.6352565957568</v>
      </c>
      <c r="E15" s="7">
        <f>C15-C6-SUM(C8:C10)</f>
        <v>51839.400000000023</v>
      </c>
      <c r="G15" t="s">
        <v>67</v>
      </c>
    </row>
    <row r="16" spans="1:8" x14ac:dyDescent="0.35">
      <c r="A16" t="s">
        <v>9</v>
      </c>
      <c r="C16" s="7">
        <f>0.8*480000</f>
        <v>384000</v>
      </c>
      <c r="D16" s="3"/>
      <c r="G16" t="s">
        <v>68</v>
      </c>
    </row>
    <row r="17" spans="1:7" x14ac:dyDescent="0.35">
      <c r="A17" t="s">
        <v>13</v>
      </c>
      <c r="B17" t="s">
        <v>48</v>
      </c>
      <c r="C17" s="7"/>
    </row>
    <row r="18" spans="1:7" x14ac:dyDescent="0.35">
      <c r="C18" s="7"/>
    </row>
    <row r="19" spans="1:7" x14ac:dyDescent="0.35">
      <c r="A19" s="6" t="s">
        <v>45</v>
      </c>
      <c r="B19" s="6"/>
      <c r="C19" s="7"/>
    </row>
    <row r="20" spans="1:7" x14ac:dyDescent="0.35">
      <c r="C20" s="7" t="s">
        <v>11</v>
      </c>
      <c r="D20" s="2" t="s">
        <v>12</v>
      </c>
    </row>
    <row r="21" spans="1:7" x14ac:dyDescent="0.35">
      <c r="A21" t="s">
        <v>10</v>
      </c>
      <c r="B21" s="7">
        <v>172798</v>
      </c>
      <c r="C21" s="7">
        <v>30000</v>
      </c>
      <c r="G21" t="s">
        <v>42</v>
      </c>
    </row>
    <row r="22" spans="1:7" x14ac:dyDescent="0.35">
      <c r="A22" t="s">
        <v>13</v>
      </c>
      <c r="B22" t="s">
        <v>49</v>
      </c>
      <c r="C22" s="7"/>
    </row>
    <row r="23" spans="1:7" x14ac:dyDescent="0.35">
      <c r="C23" s="7"/>
    </row>
    <row r="24" spans="1:7" x14ac:dyDescent="0.35">
      <c r="C24" s="7"/>
    </row>
    <row r="25" spans="1:7" x14ac:dyDescent="0.35">
      <c r="C25" s="7"/>
    </row>
    <row r="26" spans="1:7" x14ac:dyDescent="0.35">
      <c r="A26" s="6" t="s">
        <v>50</v>
      </c>
      <c r="C26" s="7"/>
      <c r="G26" t="s">
        <v>37</v>
      </c>
    </row>
    <row r="27" spans="1:7" x14ac:dyDescent="0.35">
      <c r="A27" t="s">
        <v>21</v>
      </c>
      <c r="C27" s="7">
        <f>0.85*480000</f>
        <v>408000</v>
      </c>
      <c r="G27" t="s">
        <v>70</v>
      </c>
    </row>
    <row r="28" spans="1:7" x14ac:dyDescent="0.35">
      <c r="A28" t="s">
        <v>20</v>
      </c>
      <c r="C28" s="7">
        <f>C27*5%</f>
        <v>20400</v>
      </c>
      <c r="G28" t="s">
        <v>71</v>
      </c>
    </row>
    <row r="29" spans="1:7" x14ac:dyDescent="0.35">
      <c r="A29" t="s">
        <v>19</v>
      </c>
      <c r="C29" s="7">
        <f>1326*10</f>
        <v>13260</v>
      </c>
      <c r="G29" t="s">
        <v>72</v>
      </c>
    </row>
    <row r="30" spans="1:7" x14ac:dyDescent="0.35">
      <c r="A30" t="s">
        <v>14</v>
      </c>
      <c r="C30" s="7"/>
    </row>
    <row r="31" spans="1:7" x14ac:dyDescent="0.35">
      <c r="A31" t="s">
        <v>15</v>
      </c>
      <c r="C31" s="7">
        <f>262887+C28*0.7</f>
        <v>277167</v>
      </c>
      <c r="G31" t="s">
        <v>51</v>
      </c>
    </row>
    <row r="32" spans="1:7" x14ac:dyDescent="0.35">
      <c r="A32" t="s">
        <v>16</v>
      </c>
      <c r="C32" s="7">
        <f>C27-C31-C28</f>
        <v>110433</v>
      </c>
      <c r="D32" s="2" t="s">
        <v>12</v>
      </c>
      <c r="E32" s="7">
        <f>0.15*E7</f>
        <v>25919.7</v>
      </c>
      <c r="G32" t="s">
        <v>52</v>
      </c>
    </row>
    <row r="33" spans="1:7" x14ac:dyDescent="0.35">
      <c r="A33" t="s">
        <v>17</v>
      </c>
      <c r="C33" s="4">
        <f>(C32-E32)/E32</f>
        <v>3.2605817196958298</v>
      </c>
      <c r="G33" t="s">
        <v>73</v>
      </c>
    </row>
    <row r="35" spans="1:7" x14ac:dyDescent="0.35">
      <c r="A35" s="6" t="s">
        <v>59</v>
      </c>
      <c r="G35" t="s">
        <v>53</v>
      </c>
    </row>
    <row r="36" spans="1:7" x14ac:dyDescent="0.35">
      <c r="A36" t="s">
        <v>22</v>
      </c>
      <c r="B36" s="5">
        <f>E32+C28+C31+15000</f>
        <v>338486.7</v>
      </c>
      <c r="G36" t="s">
        <v>54</v>
      </c>
    </row>
    <row r="37" spans="1:7" x14ac:dyDescent="0.35">
      <c r="A37" t="s">
        <v>23</v>
      </c>
      <c r="B37" s="2">
        <v>40000</v>
      </c>
    </row>
    <row r="38" spans="1:7" x14ac:dyDescent="0.35">
      <c r="A38" t="s">
        <v>24</v>
      </c>
      <c r="B38" s="2">
        <v>480000</v>
      </c>
      <c r="G38" t="s">
        <v>56</v>
      </c>
    </row>
    <row r="39" spans="1:7" x14ac:dyDescent="0.35">
      <c r="A39" t="s">
        <v>18</v>
      </c>
      <c r="B39" s="2">
        <f>B38*0.1</f>
        <v>48000</v>
      </c>
      <c r="G39" t="s">
        <v>55</v>
      </c>
    </row>
    <row r="40" spans="1:7" x14ac:dyDescent="0.35">
      <c r="A40" t="s">
        <v>26</v>
      </c>
      <c r="B40" s="5">
        <f>B38-B36-B37-B39</f>
        <v>53513.299999999988</v>
      </c>
      <c r="G40" t="s">
        <v>57</v>
      </c>
    </row>
    <row r="41" spans="1:7" x14ac:dyDescent="0.35">
      <c r="A41" t="s">
        <v>25</v>
      </c>
      <c r="B41" s="4">
        <f>B40/(B36+B37)</f>
        <v>0.14138753092248679</v>
      </c>
      <c r="G41" t="s">
        <v>58</v>
      </c>
    </row>
    <row r="43" spans="1:7" x14ac:dyDescent="0.35">
      <c r="A43" s="6" t="s">
        <v>60</v>
      </c>
    </row>
    <row r="44" spans="1:7" x14ac:dyDescent="0.35">
      <c r="A44" t="s">
        <v>22</v>
      </c>
      <c r="B44" s="2">
        <f>B36</f>
        <v>338486.7</v>
      </c>
    </row>
    <row r="45" spans="1:7" x14ac:dyDescent="0.35">
      <c r="A45" t="s">
        <v>27</v>
      </c>
      <c r="B45" s="2">
        <v>40000</v>
      </c>
    </row>
    <row r="46" spans="1:7" x14ac:dyDescent="0.35">
      <c r="A46" t="s">
        <v>28</v>
      </c>
      <c r="B46" s="2">
        <f>PMT(3.5%/12,360,480000*0.8)</f>
        <v>-1724.331601185886</v>
      </c>
      <c r="G46" t="s">
        <v>61</v>
      </c>
    </row>
    <row r="47" spans="1:7" x14ac:dyDescent="0.35">
      <c r="A47" t="s">
        <v>29</v>
      </c>
      <c r="B47" s="2">
        <f>480000*0.8</f>
        <v>384000</v>
      </c>
      <c r="G47" t="s">
        <v>62</v>
      </c>
    </row>
    <row r="48" spans="1:7" x14ac:dyDescent="0.35">
      <c r="A48" t="s">
        <v>30</v>
      </c>
      <c r="B48" s="2">
        <v>3200</v>
      </c>
    </row>
    <row r="49" spans="1:7" x14ac:dyDescent="0.35">
      <c r="A49" t="s">
        <v>31</v>
      </c>
      <c r="B49" s="2">
        <f>600/12</f>
        <v>50</v>
      </c>
      <c r="G49" t="s">
        <v>63</v>
      </c>
    </row>
    <row r="50" spans="1:7" x14ac:dyDescent="0.35">
      <c r="A50" t="s">
        <v>32</v>
      </c>
      <c r="B50" s="2">
        <f>1%*408000/12</f>
        <v>340</v>
      </c>
      <c r="G50" t="s">
        <v>74</v>
      </c>
    </row>
    <row r="51" spans="1:7" x14ac:dyDescent="0.35">
      <c r="A51" t="s">
        <v>33</v>
      </c>
      <c r="B51" s="2">
        <v>300</v>
      </c>
      <c r="G51" t="s">
        <v>64</v>
      </c>
    </row>
    <row r="52" spans="1:7" x14ac:dyDescent="0.35">
      <c r="A52" t="s">
        <v>35</v>
      </c>
      <c r="B52" s="2">
        <f>8%*B48</f>
        <v>256</v>
      </c>
      <c r="G52" t="s">
        <v>65</v>
      </c>
    </row>
    <row r="53" spans="1:7" x14ac:dyDescent="0.35">
      <c r="A53" t="s">
        <v>34</v>
      </c>
      <c r="B53" s="1">
        <f>SUM(B49:B52,-B46)</f>
        <v>2670.331601185886</v>
      </c>
    </row>
    <row r="54" spans="1:7" x14ac:dyDescent="0.35">
      <c r="A54" t="s">
        <v>36</v>
      </c>
      <c r="B54" s="1">
        <f>B48-B53</f>
        <v>529.66839881411397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Christy {MNAJ~South San Francisco}</dc:creator>
  <cp:lastModifiedBy>Sun, Christy {MNAJ~South San Francisco}</cp:lastModifiedBy>
  <dcterms:created xsi:type="dcterms:W3CDTF">2020-09-27T20:15:39Z</dcterms:created>
  <dcterms:modified xsi:type="dcterms:W3CDTF">2020-09-29T22:27:16Z</dcterms:modified>
</cp:coreProperties>
</file>